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firstSheet="4" activeTab="8"/>
  </bookViews>
  <sheets>
    <sheet name="bev-int" sheetId="1" r:id="rId1"/>
    <sheet name="kiad-int" sheetId="2" r:id="rId2"/>
    <sheet name="szoc_k_" sheetId="3" r:id="rId3"/>
    <sheet name="beruh" sheetId="4" r:id="rId4"/>
    <sheet name="felúj" sheetId="5" r:id="rId5"/>
    <sheet name="eu_s pr_" sheetId="6" r:id="rId6"/>
    <sheet name="belső fin_ " sheetId="7" r:id="rId7"/>
    <sheet name="külső fin_" sheetId="8" r:id="rId8"/>
    <sheet name="tart_" sheetId="9" r:id="rId9"/>
    <sheet name="önk.bev.cofog" sheetId="10" r:id="rId10"/>
    <sheet name="önk.kiad.cofog" sheetId="11" r:id="rId11"/>
    <sheet name="ph bev.cofog" sheetId="12" r:id="rId12"/>
    <sheet name="ph kiad cofog" sheetId="13" r:id="rId13"/>
    <sheet name="i-bev" sheetId="14" r:id="rId14"/>
    <sheet name="i-kiad" sheetId="15" r:id="rId15"/>
    <sheet name="létsz" sheetId="16" r:id="rId16"/>
    <sheet name="Stab_tv_" sheetId="17" r:id="rId17"/>
    <sheet name="egyenleg" sheetId="18" r:id="rId18"/>
    <sheet name="b_k_ré" sheetId="19" r:id="rId19"/>
    <sheet name="hköt" sheetId="20" r:id="rId20"/>
    <sheet name="mérl_" sheetId="21" r:id="rId21"/>
    <sheet name="m_mérl_" sheetId="22" r:id="rId22"/>
    <sheet name="f_mérl_" sheetId="23" r:id="rId23"/>
    <sheet name="kedv_" sheetId="24" r:id="rId24"/>
    <sheet name="3émérl" sheetId="25" r:id="rId25"/>
    <sheet name="eifelh" sheetId="26" r:id="rId26"/>
    <sheet name="Áll.hj." sheetId="27" r:id="rId27"/>
    <sheet name="maradv.cél szerinti tag" sheetId="28" r:id="rId28"/>
    <sheet name="Munka2" sheetId="29" r:id="rId29"/>
  </sheets>
  <definedNames>
    <definedName name="_xlnm.Print_Titles" localSheetId="18">'b_k_ré'!$1:$5</definedName>
  </definedNames>
  <calcPr fullCalcOnLoad="1"/>
</workbook>
</file>

<file path=xl/sharedStrings.xml><?xml version="1.0" encoding="utf-8"?>
<sst xmlns="http://schemas.openxmlformats.org/spreadsheetml/2006/main" count="1720" uniqueCount="923">
  <si>
    <t>Közhatalmi bevételek</t>
  </si>
  <si>
    <t>Helyi adópótlék, adóbírság</t>
  </si>
  <si>
    <t>Bérleti és lízingdíjbevétel</t>
  </si>
  <si>
    <t>Egyéb szolgáltatások nyújtása</t>
  </si>
  <si>
    <t>Egyéb ellátási díjak</t>
  </si>
  <si>
    <t>Egyéb tárgyi eszköz értékesítés</t>
  </si>
  <si>
    <t>Sportlétesítmények, edzőtáborok működtetése és fejlesztése</t>
  </si>
  <si>
    <t>Közművelődési tevékenységek és támogatásuk</t>
  </si>
  <si>
    <t>Egyéb szociális pénzbeli és természetbeni ellátások, támogatások</t>
  </si>
  <si>
    <t>Kötelező összesen:</t>
  </si>
  <si>
    <t>Önkormányzatok és önkormányzati hivatalok jogalkotás és általános igazgatási tevékenysége</t>
  </si>
  <si>
    <t>Adó-, vám és jövedéki igazgatás</t>
  </si>
  <si>
    <t>Állampolgársági ügyek - Anyakönyv</t>
  </si>
  <si>
    <t>Építés hatósági ügyek</t>
  </si>
  <si>
    <t>Szociális Igazgatás</t>
  </si>
  <si>
    <t xml:space="preserve">Eredeti </t>
  </si>
  <si>
    <t>MŰKÖDÉSI TARTALÉK</t>
  </si>
  <si>
    <t>Általános tartalék</t>
  </si>
  <si>
    <t>Működési tartalék</t>
  </si>
  <si>
    <t>Működési céltartalék</t>
  </si>
  <si>
    <t>Zárolt tartalék</t>
  </si>
  <si>
    <t>FELHALMOZÁSI TARTALÉK</t>
  </si>
  <si>
    <t>Felhalmozási tartalék</t>
  </si>
  <si>
    <t>Felhalmozási céltartalék</t>
  </si>
  <si>
    <t>MINDÖSSZESEN:</t>
  </si>
  <si>
    <t>Műk.c.visszatér.tám. és kölcsönök ny. ÁH belül</t>
  </si>
  <si>
    <t>Műk.c.peszk.átad. ÁH kívülre nonprofit szerv.</t>
  </si>
  <si>
    <t>Műk.c.peszk.átad. ÁH kívülre egyházak</t>
  </si>
  <si>
    <t>Egyéb működési célú támogatások ÁH kívülre</t>
  </si>
  <si>
    <t>Egyéb működési kiadások</t>
  </si>
  <si>
    <t>Felh..c.garancia és kezességváll.m.köt.ÁH belül</t>
  </si>
  <si>
    <t>Felh.c.visszatér.tám. és kölcsönök ny. ÁH belül</t>
  </si>
  <si>
    <t>Egyéb felhalmozási c.tám. ÁH belül</t>
  </si>
  <si>
    <t>Felh.c.visszatér.tám. és kölcsönök ny. ÁH kívülre</t>
  </si>
  <si>
    <t>Felh.c.peszk.átad. ÁH kívülre vállalkozások</t>
  </si>
  <si>
    <t>Egyéb felhalmozási kiadások</t>
  </si>
  <si>
    <t>Munkavállalók visszatér. Tám.</t>
  </si>
  <si>
    <t>ÁH belüli megelőlegezések</t>
  </si>
  <si>
    <t>Adóssághoz nem kapcs.származékos ügyl.bevét.</t>
  </si>
  <si>
    <t>Adóssághoz nem kapcs.származékos ügyl.kiad.</t>
  </si>
  <si>
    <t>Irányítószervi támogatás Wass Albert Műv.Központ</t>
  </si>
  <si>
    <t>Irányítószervi támogatás Gyöngyszem Óvoda</t>
  </si>
  <si>
    <t>Wass Albert Művelődési Központ</t>
  </si>
  <si>
    <t>Lakástámogatás</t>
  </si>
  <si>
    <t>Egyéb felhalmozási célú támogatások ÁH kívülre</t>
  </si>
  <si>
    <t>Költségvetési bevételek</t>
  </si>
  <si>
    <t>Költségvetési kiadások</t>
  </si>
  <si>
    <t>Külső forrásból finanszírozandó költségvetési hiány (hiány -, többlet +)</t>
  </si>
  <si>
    <t>Költségetési kiadások</t>
  </si>
  <si>
    <t>Költségvetési hiány (hiány -, többlet +)</t>
  </si>
  <si>
    <t>Belső finanszírozás</t>
  </si>
  <si>
    <t>Költségvetési hiány (-)/többlet (+)</t>
  </si>
  <si>
    <t>Előző évek maradványának igénybe vétele</t>
  </si>
  <si>
    <t>Irányítószervi támogatás bevétele</t>
  </si>
  <si>
    <t>Irányítószervi támogatás folyósítása</t>
  </si>
  <si>
    <t>Megnevezés</t>
  </si>
  <si>
    <t>Önkormányzat</t>
  </si>
  <si>
    <t>Wass A. Műv. K.</t>
  </si>
  <si>
    <t>Gyöngyszem Óvoda</t>
  </si>
  <si>
    <t>I. Bevételek</t>
  </si>
  <si>
    <t>Kamatbevételek</t>
  </si>
  <si>
    <t>Költségvetési bevételek:</t>
  </si>
  <si>
    <t>Bevételek összesen:</t>
  </si>
  <si>
    <t>Személyi juttatások</t>
  </si>
  <si>
    <t>Felújítások</t>
  </si>
  <si>
    <t>Beruházások</t>
  </si>
  <si>
    <t>Költségvetési kiadások:</t>
  </si>
  <si>
    <t>Kiadások összesen:</t>
  </si>
  <si>
    <t>lakosságnak juttatott támogatásai, pénzbeni és természetbeni szociális ellátásainak részletezése</t>
  </si>
  <si>
    <t xml:space="preserve">Megnevezés </t>
  </si>
  <si>
    <t>Ellátottak pénzbeni juttatása</t>
  </si>
  <si>
    <t>Összesen</t>
  </si>
  <si>
    <t>e Ft-ban</t>
  </si>
  <si>
    <t xml:space="preserve"> belső finanszírozásának bemutatása  </t>
  </si>
  <si>
    <t>Működés</t>
  </si>
  <si>
    <t xml:space="preserve">Felhalmozás </t>
  </si>
  <si>
    <t xml:space="preserve"> külső finanszírozásának bemutatása  </t>
  </si>
  <si>
    <t>Finanszírozási kiadások</t>
  </si>
  <si>
    <t>Külső forrásból finanszírozandó teljes hiány (hiány -, többlet +)</t>
  </si>
  <si>
    <t>Egyenleg</t>
  </si>
  <si>
    <t>Összeg</t>
  </si>
  <si>
    <t>Finanszírozási bevételek</t>
  </si>
  <si>
    <t>I.</t>
  </si>
  <si>
    <t>Kiadások összesen</t>
  </si>
  <si>
    <t>Intézmény megnevezése</t>
  </si>
  <si>
    <t>Főfogl. álláshely</t>
  </si>
  <si>
    <t>Részfogl. álláshely</t>
  </si>
  <si>
    <t>Összesen:</t>
  </si>
  <si>
    <t>Költségvetési  egyenleg (többlet +, hiány -)</t>
  </si>
  <si>
    <t>Egyenleg finanszírozási kiadásokkal  (többlet +, hiány -)</t>
  </si>
  <si>
    <t>Bevételek összesen</t>
  </si>
  <si>
    <t>Bevételek</t>
  </si>
  <si>
    <t>Építményadó</t>
  </si>
  <si>
    <t>Magánszem. Kommunális adója</t>
  </si>
  <si>
    <t>Kiadások</t>
  </si>
  <si>
    <t>2.</t>
  </si>
  <si>
    <t>4.</t>
  </si>
  <si>
    <t>5.</t>
  </si>
  <si>
    <t>6.</t>
  </si>
  <si>
    <t>7.</t>
  </si>
  <si>
    <t>9.</t>
  </si>
  <si>
    <t>11.</t>
  </si>
  <si>
    <t>12.</t>
  </si>
  <si>
    <t>13.</t>
  </si>
  <si>
    <t>Működési bevételek</t>
  </si>
  <si>
    <t>Műk. bevét. össz.:</t>
  </si>
  <si>
    <t>Munkaadókat terhelő járulékok</t>
  </si>
  <si>
    <t>Tartalék</t>
  </si>
  <si>
    <t>Műk. kiad. össz.:</t>
  </si>
  <si>
    <t xml:space="preserve">Felh. bevét. össz.: </t>
  </si>
  <si>
    <t>Felh. kiad. össz.:</t>
  </si>
  <si>
    <t>Kedvezmény</t>
  </si>
  <si>
    <t>érintettek száma</t>
  </si>
  <si>
    <t>kedvezmény mértéke</t>
  </si>
  <si>
    <t>összege</t>
  </si>
  <si>
    <t>Magánszemélyek kommunális adója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</si>
  <si>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</si>
  <si>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</si>
  <si>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</si>
  <si>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</si>
  <si>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</si>
  <si>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</si>
  <si>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</si>
  <si>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</si>
  <si>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</si>
  <si>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</si>
  <si>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</si>
  <si>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Bevételek </t>
  </si>
  <si>
    <t>Szociális étkeztetés</t>
  </si>
  <si>
    <t>Felhalmozási kiadások</t>
  </si>
  <si>
    <t>17.</t>
  </si>
  <si>
    <t>18.</t>
  </si>
  <si>
    <t>19.</t>
  </si>
  <si>
    <t>Készletbeszerzés</t>
  </si>
  <si>
    <t>Szolgáltatási kiadások</t>
  </si>
  <si>
    <t>Kiküldetés, reklám- és propagamda kiadások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</si>
  <si>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</si>
  <si>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</si>
  <si>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</si>
  <si>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</si>
  <si>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Önkormányzatok működési támogatása</t>
  </si>
  <si>
    <t>Működési célú támogatások ÁH belülről</t>
  </si>
  <si>
    <t>Felhalmozási célú támogatások ÁH belülről</t>
  </si>
  <si>
    <t>Jövedelemadók</t>
  </si>
  <si>
    <t>Termékek és szolgáltatások adói</t>
  </si>
  <si>
    <t>Egyéb közhatalmi bevételek</t>
  </si>
  <si>
    <t>Dologi kiadások</t>
  </si>
  <si>
    <t>Egyéb működési célú támogatások ÁH belülről</t>
  </si>
  <si>
    <t>Felhalmozási bevételek</t>
  </si>
  <si>
    <t>Működési célú átvett pénzeszközök</t>
  </si>
  <si>
    <t>Felhalmozási célú átvett pénzeszközök</t>
  </si>
  <si>
    <t>Hitel, kölcsöntörlesztés ÁH kívülre</t>
  </si>
  <si>
    <t>Belföldi értékpapírok kiadásai</t>
  </si>
  <si>
    <t>Központi, irányító szervi támogatás folyósítása</t>
  </si>
  <si>
    <t>Pénzeszközök betétként elhelyezése</t>
  </si>
  <si>
    <t>Belföldi finanszírozás kiadásai</t>
  </si>
  <si>
    <t>Külföldi finanszírozás kiadásai</t>
  </si>
  <si>
    <t>Hitel, kölcsönfelvétel ÁH kívülről</t>
  </si>
  <si>
    <t>Belföldi értékpapírok bevételei</t>
  </si>
  <si>
    <t>Maradvány igénybevétele</t>
  </si>
  <si>
    <t>Központi, irányító szervi támogatás</t>
  </si>
  <si>
    <t>Belföldi finanszírozás bevételei</t>
  </si>
  <si>
    <t>Külföldi finanszírozás bevételei</t>
  </si>
  <si>
    <t>Óvodáztatási támogatás</t>
  </si>
  <si>
    <t>Egyéb pénzbeli és természetbeni gyv támogatás</t>
  </si>
  <si>
    <t>Hozzájárulás lakossági energiaköltségekhez</t>
  </si>
  <si>
    <t xml:space="preserve">Lakásfenntartási támogatás </t>
  </si>
  <si>
    <t xml:space="preserve">Adósságcsökkentési támogatás </t>
  </si>
  <si>
    <t xml:space="preserve">Természetben nyújtott lakásfennt.támogatás </t>
  </si>
  <si>
    <t xml:space="preserve">Gáz és áram fogyasztásmérő támogatás </t>
  </si>
  <si>
    <t>Belső finanszírozási bevételek</t>
  </si>
  <si>
    <t>Belső finanszírozási kiadások</t>
  </si>
  <si>
    <t>Egyéb műk.célú támogatások bevételei ÁH belül</t>
  </si>
  <si>
    <t>OEP finanszírozás Védőnői szolgálat</t>
  </si>
  <si>
    <t>Egyéb felh.célú támogatások bevételei ÁH belül</t>
  </si>
  <si>
    <t>Vagyoni típusú adók</t>
  </si>
  <si>
    <t>Értékesítési és forg. tip. adók</t>
  </si>
  <si>
    <t>Állandó jell. Végz. Iparűzési adó</t>
  </si>
  <si>
    <t>Egyéb áruhasználati és szolgáltatási tip. adók</t>
  </si>
  <si>
    <t>Tartózkodás után fizetett idegenforgalmi adó</t>
  </si>
  <si>
    <t>Korábbi évek megszünt adónemeiből bef.adóbev.</t>
  </si>
  <si>
    <t>Önkormányzatok működési támogatásai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</si>
  <si>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</si>
  <si>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</si>
  <si>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</si>
  <si>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</si>
  <si>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Felh.célú önkormányzati támogatások</t>
  </si>
  <si>
    <t>Vis maior támogatások</t>
  </si>
  <si>
    <t>Lakossági közműfejl. Tám.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</si>
  <si>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</si>
  <si>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</si>
  <si>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</si>
  <si>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</si>
  <si>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</si>
  <si>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 xml:space="preserve">Szolgáltatások ellenértéke </t>
  </si>
  <si>
    <t>Közvetített szolg. bevétele ÁH belülről</t>
  </si>
  <si>
    <t>Közvetített szolg. bevétele ÁH kívülről</t>
  </si>
  <si>
    <t>Közvetített szolgáltatások ellenértéke</t>
  </si>
  <si>
    <t>Intézményi térítési díjak</t>
  </si>
  <si>
    <t>Ellátási díjak</t>
  </si>
  <si>
    <t>Készletértékesítés bevételei</t>
  </si>
  <si>
    <t>Tulajdonosi bevételek</t>
  </si>
  <si>
    <t>Kiszámlázott ÁFA</t>
  </si>
  <si>
    <t>Egyéb pénzügyi műveletek bevét. (árf. Nyereség)</t>
  </si>
  <si>
    <t>Egyéb működési bevételek</t>
  </si>
  <si>
    <t>Immateriális javak értékesítése</t>
  </si>
  <si>
    <t>Ingatlanok értékesítése</t>
  </si>
  <si>
    <t>Egyéb eszközök értékesítése (gép…)</t>
  </si>
  <si>
    <t>Műk.c.visszat.tám.megt. ÁH belülről</t>
  </si>
  <si>
    <t>Egyéb működési célú peszk. átvétel</t>
  </si>
  <si>
    <t>Helyi önk. működésének ált. támogatása</t>
  </si>
  <si>
    <t>Helyi önk. kiegészítő tám.</t>
  </si>
  <si>
    <t>Munkavállalók visszatér.tám.</t>
  </si>
  <si>
    <t>Elvonások és befizetések</t>
  </si>
  <si>
    <t>Műk.c.garancia és kezességváll.m.köt.ÁH belül</t>
  </si>
  <si>
    <t>Műk.c.visszatér.tám. s kölcsönök törl.ÁH belül</t>
  </si>
  <si>
    <t>Egyéb működési c.tám. ÁH belül</t>
  </si>
  <si>
    <t>Műk.c.garancia és kezességváll.m.köt.ÁH kívülre</t>
  </si>
  <si>
    <t>Műk.c.visszatér.tám. és kölcsönök ny. ÁH kívülre</t>
  </si>
  <si>
    <t>Felh.c.visszat.tám.megt. ÁH kívülről</t>
  </si>
  <si>
    <t xml:space="preserve">Bevételek összesen </t>
  </si>
  <si>
    <t>Többlet (+), hiány (-)</t>
  </si>
  <si>
    <t>Külső finanszírozási kiadások</t>
  </si>
  <si>
    <t>Önkormányzati feladatok összesen:</t>
  </si>
  <si>
    <t>Kölcsöntörlesztés</t>
  </si>
  <si>
    <t>Megj.</t>
  </si>
  <si>
    <t xml:space="preserve">Különbözet </t>
  </si>
  <si>
    <t>Felhalmozási c.átvett pénzeszközök</t>
  </si>
  <si>
    <t>ÁH belüli megelőlegezések visszafizetése</t>
  </si>
  <si>
    <t>Fogászati ügyeleti hozzájárulás T.bánya</t>
  </si>
  <si>
    <r>
      <t xml:space="preserve">Jövedelemadók  Magánszemélyek jövedelemadói </t>
    </r>
    <r>
      <rPr>
        <sz val="9"/>
        <rFont val="Calibri"/>
        <family val="2"/>
      </rPr>
      <t>(termőföld. bérbead. SZJA)</t>
    </r>
  </si>
  <si>
    <t>AH belüli megelőlegezések visszafizetése</t>
  </si>
  <si>
    <t>Egyéb önkormányzati feladatok támogatása</t>
  </si>
  <si>
    <t>Család- és gyermekjóléti szolgálat</t>
  </si>
  <si>
    <t>Őszi Napfény  Idősek Otthona</t>
  </si>
  <si>
    <t>Őszi Napfény Idősek Otthona</t>
  </si>
  <si>
    <t>Családtámogatások (K42)</t>
  </si>
  <si>
    <t>Betegséggel kapcsolatos nem TB ellátások (K44)</t>
  </si>
  <si>
    <t>Foglalk. és munkanélk. kapcs, ellátások (K45)</t>
  </si>
  <si>
    <t>Lakással kapcsolatos ellátások (K46)</t>
  </si>
  <si>
    <t>Intézményi ellátottak pénzbeli juttatásai (K47)</t>
  </si>
  <si>
    <t>Egyéb nem intézményi ellátások (K48)</t>
  </si>
  <si>
    <t>1/b</t>
  </si>
  <si>
    <t>1/a</t>
  </si>
  <si>
    <t>Bevétel</t>
  </si>
  <si>
    <t>Kiadás</t>
  </si>
  <si>
    <t>Működési kiadások</t>
  </si>
  <si>
    <t>M.adókat terh. jár. és szochó</t>
  </si>
  <si>
    <t>Dologi</t>
  </si>
  <si>
    <t>Egyéb működési kiadás</t>
  </si>
  <si>
    <t>Ellátottak pénzbeli juttatása</t>
  </si>
  <si>
    <t>Működési tartalékok</t>
  </si>
  <si>
    <t>Felújítás</t>
  </si>
  <si>
    <t>Beruházás</t>
  </si>
  <si>
    <t>Felhalmozási tartalékok</t>
  </si>
  <si>
    <t>Költségvetési szerveknek folyósított támogatás</t>
  </si>
  <si>
    <t>Önkormányzatok és önkormányzati hivatalok jogalkotó és általános igazgatási tevékenysége</t>
  </si>
  <si>
    <t>Kötelező</t>
  </si>
  <si>
    <t>Köztemető fenntartás és működtetés</t>
  </si>
  <si>
    <t>Az önkormányzati vagyonnal való gazdálkodással kapcsolatos feladatok</t>
  </si>
  <si>
    <t>Kiemelt állami és önkormányzati rendezvények</t>
  </si>
  <si>
    <t>Támogatási célú finanszírozási műveletek</t>
  </si>
  <si>
    <t>Közterület rendjének fenntartása</t>
  </si>
  <si>
    <t>Közutak, hidak, alagutak üzemeltetése, fenntartása</t>
  </si>
  <si>
    <t>Szennyvíz gyűjtése, tisztítása, elhelyezése</t>
  </si>
  <si>
    <t>Közvilágítás</t>
  </si>
  <si>
    <t>Irányítószervi támogatás Őszi Napfény Idősek Otthona</t>
  </si>
  <si>
    <t>Műk.c.visszat.tám.visszatérülése ÁH belülről</t>
  </si>
  <si>
    <t>Felh.c.visszatér.tám. s kölcsönök törl.ÁH belül - PHARE</t>
  </si>
  <si>
    <t>Gyógyszertámogatás</t>
  </si>
  <si>
    <t>Ápolási támogatás</t>
  </si>
  <si>
    <t>BURSA</t>
  </si>
  <si>
    <t>Őszi Napfény Idősek Otthona lakók</t>
  </si>
  <si>
    <t>CSÁO üzemeltetéshez átvett (Komárom, Mocsa, Kigmánd)</t>
  </si>
  <si>
    <t>3/a</t>
  </si>
  <si>
    <t>3/b</t>
  </si>
  <si>
    <t>és kiadásainak alakulása működési és fejlesztési jelleg szerinti bontásban</t>
  </si>
  <si>
    <t>Előre nem tervezhető kiadások</t>
  </si>
  <si>
    <t>ÁH-on belüli megelől.visszafizetése</t>
  </si>
  <si>
    <t>Munkaügy igazgatása</t>
  </si>
  <si>
    <t>Önkormányzati vagyonnal való gazdálkodás</t>
  </si>
  <si>
    <t>Gyöngyszem Óvoda összesen</t>
  </si>
  <si>
    <t>Könyvtári állomány gyarapítása, nyilvántartása</t>
  </si>
  <si>
    <t>Könyvtári szolgáltatások</t>
  </si>
  <si>
    <t>Közművelődés – hagyományos közösségi kulturális értékek gondozása</t>
  </si>
  <si>
    <t>Gyermekek átmeneti ellátása</t>
  </si>
  <si>
    <t>Önként  vállalt</t>
  </si>
  <si>
    <t xml:space="preserve">Zöldterület kezelés </t>
  </si>
  <si>
    <t xml:space="preserve">Város- községgazdálkodási egyéb szolgáltatások </t>
  </si>
  <si>
    <t>Háziorvosi alapellátás</t>
  </si>
  <si>
    <t>Műk.c.peszk.átad. ÁH belül KTKT - állami támogatások</t>
  </si>
  <si>
    <t>Műk.c.peszk.átad. ÁH belül KTKT - működési kiadásokhoz</t>
  </si>
  <si>
    <t>Kommunikációs szolgáltatások</t>
  </si>
  <si>
    <t>Pályázat- és támogatáskezelés és - működtetés</t>
  </si>
  <si>
    <t>Más szerv részére végzett pénzügyi-gazdálkodási, üzem., egyéb szolg.</t>
  </si>
  <si>
    <t>Háziorvosi ügyeleti ellátás</t>
  </si>
  <si>
    <t>Fogorvosi ügyeleti ellátás</t>
  </si>
  <si>
    <t>Család- és nővédelmi egészségügyi gondozás</t>
  </si>
  <si>
    <t>Ifjúság-egészségügyi gondozás</t>
  </si>
  <si>
    <t>Határon túli magyarok egyéb támogatásai (Testvérvárosi kapcs.kiad.)</t>
  </si>
  <si>
    <t>Gyermekétkeztetés köznevelési intézményekben</t>
  </si>
  <si>
    <t>Munkahelyi étkeztetés köznevelési intézményekben</t>
  </si>
  <si>
    <t>Óvodai nevelés, elllátás szakmai feladatai</t>
  </si>
  <si>
    <t>SNI-s gyermekek óvodai nev.szakmai feladatai</t>
  </si>
  <si>
    <t>Óvodai nevelés, ellátás működtetési feldatai</t>
  </si>
  <si>
    <t>Őszi Napfény Idősek Otthona összesen</t>
  </si>
  <si>
    <t>Wass Albert Művelődési Központ és Könyvtár összesen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</si>
  <si>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</si>
  <si>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</si>
  <si>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</si>
  <si>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</si>
  <si>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</si>
  <si>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</si>
  <si>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</si>
  <si>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</si>
  <si>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</si>
  <si>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</si>
  <si>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</si>
  <si>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</si>
  <si>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</si>
  <si>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</si>
  <si>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kötelezettséggel csökkentett saját bevétel 50 %-a </t>
  </si>
  <si>
    <t>Ft-ban</t>
  </si>
  <si>
    <t>Önkormányzatok igazg.tev.</t>
  </si>
  <si>
    <t>Étkeztetés</t>
  </si>
  <si>
    <t>Sportcsarnok</t>
  </si>
  <si>
    <t>Zöldterület-kezelés</t>
  </si>
  <si>
    <t>Város- és községgazdálkodás</t>
  </si>
  <si>
    <t>Köztemető-fenntartás</t>
  </si>
  <si>
    <t>Védőnői szolgálat</t>
  </si>
  <si>
    <t>Helyi közutak fenntartása, üzem.</t>
  </si>
  <si>
    <t>Részesedések értékesítése</t>
  </si>
  <si>
    <t>8.</t>
  </si>
  <si>
    <t>10.</t>
  </si>
  <si>
    <t>14.</t>
  </si>
  <si>
    <t>16.</t>
  </si>
  <si>
    <t>16/a.</t>
  </si>
  <si>
    <t>16/b.</t>
  </si>
  <si>
    <t>16/c.</t>
  </si>
  <si>
    <t>Intézményen kívüli gyermekétkeztetés</t>
  </si>
  <si>
    <t>Demens betegek tartós bentlakásos ellátása</t>
  </si>
  <si>
    <t>MŰKÖDÉSI KIADÁSOK</t>
  </si>
  <si>
    <t>Kisbéri Városigazg.</t>
  </si>
  <si>
    <t xml:space="preserve">Rendkívüli támogatás </t>
  </si>
  <si>
    <t xml:space="preserve">Temetési támogatás </t>
  </si>
  <si>
    <t xml:space="preserve">Köztemetés </t>
  </si>
  <si>
    <t>Pénzbeli kárpótlások, kártérítések (K43)</t>
  </si>
  <si>
    <t>Városigazg.</t>
  </si>
  <si>
    <t>Kisbéri Városigazgatóság</t>
  </si>
  <si>
    <t>összesen</t>
  </si>
  <si>
    <t>Város-  igazgatóság</t>
  </si>
  <si>
    <t>1.</t>
  </si>
  <si>
    <t>3.</t>
  </si>
  <si>
    <t>15.</t>
  </si>
  <si>
    <t>20.</t>
  </si>
  <si>
    <t>21.</t>
  </si>
  <si>
    <t>22.</t>
  </si>
  <si>
    <t>23.</t>
  </si>
  <si>
    <t>24.</t>
  </si>
  <si>
    <t>sorszám</t>
  </si>
  <si>
    <t>Megbízási díjas, tiszteletdíjas fő-ben</t>
  </si>
  <si>
    <t>Városigazgatóság</t>
  </si>
  <si>
    <t>Jogcím száma</t>
  </si>
  <si>
    <t>Jogcím megnevezése</t>
  </si>
  <si>
    <t>Mennyiségi egység</t>
  </si>
  <si>
    <t>Fajlagos összeg</t>
  </si>
  <si>
    <t>Mutató</t>
  </si>
  <si>
    <t>Forint</t>
  </si>
  <si>
    <t>forint</t>
  </si>
  <si>
    <t/>
  </si>
  <si>
    <t>fő</t>
  </si>
  <si>
    <t>Lakott külterülettel kapcsolatos feladatok támogatása</t>
  </si>
  <si>
    <t>A települési önkormányzatok egyes köznevelési feladatainak támogatása</t>
  </si>
  <si>
    <t>számított létszám</t>
  </si>
  <si>
    <t>Család- és gyermekjóléti központ</t>
  </si>
  <si>
    <t>működési hó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</si>
  <si>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</si>
  <si>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</si>
  <si>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</si>
  <si>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</si>
  <si>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A települési önkormányzatok kulturális feladatainak támogatása</t>
  </si>
  <si>
    <t>28.</t>
  </si>
  <si>
    <t>Irányítószervi támogatás Városigazgatóság</t>
  </si>
  <si>
    <t>Egyéb különféle szolgáltatások nyújtása</t>
  </si>
  <si>
    <t>Szakmai szolgáltatás nyújtása</t>
  </si>
  <si>
    <t>Ideiglenes tev. Iparűzési adó</t>
  </si>
  <si>
    <t>Betétek megszüntetése, kincstárjegy vissszavásárlás</t>
  </si>
  <si>
    <t xml:space="preserve"> Középtávú tervezés az adósságot keletkeztető ügyletekből adódó kötelezettségekről az Áht. 29/A. §-a alapján</t>
  </si>
  <si>
    <t>Kiadás összesen</t>
  </si>
  <si>
    <t>Dolgozók munkáltatói kölcsön törlesztése (felhalmozási célú)</t>
  </si>
  <si>
    <t>Bevétel összesen</t>
  </si>
  <si>
    <t>Nettó adósságállomány</t>
  </si>
  <si>
    <t>Ipari terület fejlesztése a gép-, fém- és feldolgozóipari kkv-k letelepedésének és fejlődésének segítésére Kisbéren</t>
  </si>
  <si>
    <t>INTERREG V-A Szlovákia - Magyarország Együttműködési Program
SKHU/1601      PT1 - Természet és kultúra</t>
  </si>
  <si>
    <t>CULTPLAY - Interaktív tematikus parkok létrehozása, a kulturális örökség innovatív használata</t>
  </si>
  <si>
    <t>2.900.000 EUR
Ebből Kisbérre eső rész: 300.000 EUR (kb. 93.000.000 Ft)</t>
  </si>
  <si>
    <t>15.000 EUR
(kb. 4.650.000 Ft)</t>
  </si>
  <si>
    <t>EU-s projekt neve</t>
  </si>
  <si>
    <t>Azonosítója</t>
  </si>
  <si>
    <t>Támogatás státusza</t>
  </si>
  <si>
    <t xml:space="preserve">Kisbér Város Önkormányzata </t>
  </si>
  <si>
    <t>Önként Vállalt</t>
  </si>
  <si>
    <t>Támogatás összesen</t>
  </si>
  <si>
    <t>Önként vállalt összesen:</t>
  </si>
  <si>
    <t>Önként vállalt</t>
  </si>
  <si>
    <t>további évek</t>
  </si>
  <si>
    <t>Lovarda visszapótlási kötelezettség</t>
  </si>
  <si>
    <t>a)</t>
  </si>
  <si>
    <t>bevételi főösszegét</t>
  </si>
  <si>
    <t>b)</t>
  </si>
  <si>
    <t>kiadási főösszegét</t>
  </si>
  <si>
    <t>Ft-ban állapítja meg.</t>
  </si>
  <si>
    <t>c)</t>
  </si>
  <si>
    <t>a költségvetés bevételi főösszegén belül a költségvetési bevételek főösszegét</t>
  </si>
  <si>
    <t>ezen belül:</t>
  </si>
  <si>
    <t>- a működési célú költségvetési bevételeket</t>
  </si>
  <si>
    <t>- a felhalmozási célú pénzforgalmi bevételeket</t>
  </si>
  <si>
    <t>a költségvetési bevételek főösszegén belül:</t>
  </si>
  <si>
    <t xml:space="preserve">az ÁH belülről származó működési célú támogatások összegét </t>
  </si>
  <si>
    <t>az ÁH belülről származó felhalmozási célú támogatások összegét</t>
  </si>
  <si>
    <t>közhatalmi bevételek összegét</t>
  </si>
  <si>
    <t>működési bevételek összegét</t>
  </si>
  <si>
    <t>felhalmozási bevételek összegét</t>
  </si>
  <si>
    <t>működési célra átvett pénzeszközök összegét</t>
  </si>
  <si>
    <t>felhalmozási célra átvett pénzeszközök összegét</t>
  </si>
  <si>
    <t>d)</t>
  </si>
  <si>
    <t>a költségvetés bevételi főösszegén belül a finanszírozási bevételek főösszegét</t>
  </si>
  <si>
    <t>a belföldi finanszírozás bevételeit</t>
  </si>
  <si>
    <t>a külföldi finanszírozás bevételeit</t>
  </si>
  <si>
    <t>adóssághoz nem kapcs. szárm. ügyletek bevételeit</t>
  </si>
  <si>
    <t>a finanszírozási bevételek főösszegén belül:</t>
  </si>
  <si>
    <t>betétlekötések megszűntetése</t>
  </si>
  <si>
    <t>forgatási célú értékpapírok beváltása</t>
  </si>
  <si>
    <t>maradvány igénybevétel</t>
  </si>
  <si>
    <t>irányítószervi támogatás</t>
  </si>
  <si>
    <t>e)</t>
  </si>
  <si>
    <t>a költségvetés kiadási főösszegén belül a költségvetési kiadások főösszegét</t>
  </si>
  <si>
    <t>- a működési jellegű költségvetési kiadások összegét</t>
  </si>
  <si>
    <t xml:space="preserve">        ebből:</t>
  </si>
  <si>
    <t xml:space="preserve">                személyi juttatás összegét</t>
  </si>
  <si>
    <t xml:space="preserve">               munkaadókat terhelő járulékok összegét</t>
  </si>
  <si>
    <t xml:space="preserve">               dologi kiadások összegét</t>
  </si>
  <si>
    <t xml:space="preserve">               ellátottak pénzbeli juttatásának összegét</t>
  </si>
  <si>
    <t xml:space="preserve">               egyéb működési célú kiadások összegét</t>
  </si>
  <si>
    <t>- a felhalmozási jellegű költségvetési kiadások összegét</t>
  </si>
  <si>
    <t xml:space="preserve">                beruházások összegét</t>
  </si>
  <si>
    <t xml:space="preserve">               felújítások összegét</t>
  </si>
  <si>
    <t xml:space="preserve">               egyéb felhalmozási célú kiadások összegét</t>
  </si>
  <si>
    <t>f)</t>
  </si>
  <si>
    <t>a költségvetés kiadás főösszegén belül a finanszírozási kiadások főösszegét</t>
  </si>
  <si>
    <t>a belföldi finanszírozás kiadásait</t>
  </si>
  <si>
    <t xml:space="preserve">   ebből: irányítószervi támogatást</t>
  </si>
  <si>
    <t xml:space="preserve"> ÁH belüli megelőlegezések     visszafizetése</t>
  </si>
  <si>
    <t>forgatási célú értékpapírok vásárlása</t>
  </si>
  <si>
    <t>a külföldi finanszírozás kiadásait</t>
  </si>
  <si>
    <t>adóssághoz nem kapcs. szárm. ügyletek kiadásait</t>
  </si>
  <si>
    <t>8/b.</t>
  </si>
  <si>
    <t>8/a.</t>
  </si>
  <si>
    <t>9/a.</t>
  </si>
  <si>
    <t>10/b.</t>
  </si>
  <si>
    <t>10/a.</t>
  </si>
  <si>
    <t>Államigazgatási feldatok összesen:</t>
  </si>
  <si>
    <t>Államigazgatási feladatok összesen:</t>
  </si>
  <si>
    <t>Önkormányzatok funkcióra nem sorolható bevételei államháztartáson kívülről</t>
  </si>
  <si>
    <t>Államigazgatási</t>
  </si>
  <si>
    <t>eredeti</t>
  </si>
  <si>
    <t>módosított</t>
  </si>
  <si>
    <t>er.</t>
  </si>
  <si>
    <t>mód.</t>
  </si>
  <si>
    <t>Módosított</t>
  </si>
  <si>
    <t>Pe.betétként elhelyezése, kincstárjegy vás.</t>
  </si>
  <si>
    <t>29.</t>
  </si>
  <si>
    <t>Betétek megszüntetése, kincstárjegy visszavás.</t>
  </si>
  <si>
    <t>Pénzeszközök betétként elh.,kincstárjegy vás.</t>
  </si>
  <si>
    <t>Külső finanszírozási bevételek</t>
  </si>
  <si>
    <t>Óvodai nevelés, ellátás működtetési feladatai</t>
  </si>
  <si>
    <t>Elvonások és befizetések bevételei</t>
  </si>
  <si>
    <t>Biztosítók által fizetett díjak</t>
  </si>
  <si>
    <t>Háztartásoktól felh.célú átvett p.eszk.(csatorna, viziközmű)</t>
  </si>
  <si>
    <t>Nyert, megvalósítás folyamatban</t>
  </si>
  <si>
    <t>Európai Uniós támogatással megvalósuló projektjei  a beadott kérelmek alapján</t>
  </si>
  <si>
    <t>Egyéb felh.célú támogatások bevételei ÁH kívülről</t>
  </si>
  <si>
    <t>Ápolási díj</t>
  </si>
  <si>
    <t>Működési többlet (+), működési hiány (-)</t>
  </si>
  <si>
    <t>Felhalmozási többlet (+), felhalmozási hiány (-)</t>
  </si>
  <si>
    <t>Óvodai és iskolai szociális segítő tevékenység támogatása</t>
  </si>
  <si>
    <t>Bölcsődei üzemeltetési támogatás</t>
  </si>
  <si>
    <t xml:space="preserve">Megyei hatókörű városi könyvtár kistelepülési könyvtári célú kiegészítő támogatása </t>
  </si>
  <si>
    <t>KTKT-tól átvett - hivatali feladatok ellátása</t>
  </si>
  <si>
    <t>Környezetvédelmi Alap</t>
  </si>
  <si>
    <t>Lakásfelújítások</t>
  </si>
  <si>
    <t>Étkeztetés térítési díj bevétele</t>
  </si>
  <si>
    <t>Alkalmazottak egyéb térítési díj bevétele</t>
  </si>
  <si>
    <t>Térségi együttműködés EFOP-3.9.2-16-2017-00018</t>
  </si>
  <si>
    <t>Igényelt/elnyert támogatás</t>
  </si>
  <si>
    <t>ÁH-on belüli megelőleg.v.fiz.</t>
  </si>
  <si>
    <t>Belföldi értékpapírok vásárlása</t>
  </si>
  <si>
    <t>Belföldi értékpapírok visszavásárlása</t>
  </si>
  <si>
    <t>Műk.c.peszk.átad. ÁH belül KTKT - szociális ágazati pótlék</t>
  </si>
  <si>
    <t>TOP-5.3.1-16-KO1-2017-00005 Helyi kisköz.Kisbérhez tartozásának erősítése</t>
  </si>
  <si>
    <t>Közművelődési érdekeltségnövelő támogatás</t>
  </si>
  <si>
    <t>Más egyéb pénzügyi műveletek bevételei</t>
  </si>
  <si>
    <t>Turizmus igazgatása és támogatása</t>
  </si>
  <si>
    <t>A helyi identitás és kohézió erősítése
/TOP-5.3.1-16/</t>
  </si>
  <si>
    <t xml:space="preserve">Kisbér Spartacus SE 2027.03.31-ig 200 e Ft/hó 213/2018.(X.12) </t>
  </si>
  <si>
    <t>Helyi kisközösségek Kisbérhez tartozásának erősítése
/TOP-5.3.1-16-KO1-2017-00005/ Kisbér része: 51.028.800,- Ft</t>
  </si>
  <si>
    <t>Eredeti</t>
  </si>
  <si>
    <t xml:space="preserve">Mód.     </t>
  </si>
  <si>
    <t>Csatorna visszapótlás</t>
  </si>
  <si>
    <t xml:space="preserve">Dologi </t>
  </si>
  <si>
    <t>Személyi</t>
  </si>
  <si>
    <t>Járulék</t>
  </si>
  <si>
    <t>Lovarda visszapótlás</t>
  </si>
  <si>
    <t>Helyi kisközösségek Kisbérhez tartozásának erősítése
/TOP-5.3.1-16-KO1-2017-00005/</t>
  </si>
  <si>
    <t>Finansz.kiadás</t>
  </si>
  <si>
    <t>Egyéb műk.kiadás</t>
  </si>
  <si>
    <t>NTERREG V-A Szlovákia - Magyarország Együttműködési Program SKHU/1601      PT1 - Természet és kultúra - CultPlay pályázat</t>
  </si>
  <si>
    <t>Időskorúak tartós bentlakásos ellátása - működés</t>
  </si>
  <si>
    <t>Időskorúak tartós bentlakásos ellátása - szakmai</t>
  </si>
  <si>
    <t>Időskorúak tartós bentlakásos ellátása - konyha</t>
  </si>
  <si>
    <t>Dologi kiadások között</t>
  </si>
  <si>
    <t>Karácsonyi ajándékcsomag</t>
  </si>
  <si>
    <t>Tűzifa</t>
  </si>
  <si>
    <t>Fogászati alapellátás</t>
  </si>
  <si>
    <t>Múzeumi kiállítási tevékenység . Kiskastély</t>
  </si>
  <si>
    <t>Gyermekétkeztetés köznevelési intézményben</t>
  </si>
  <si>
    <t xml:space="preserve">Időskorúak tartós bentlakásos ellátása </t>
  </si>
  <si>
    <t>Cultplay támogatás</t>
  </si>
  <si>
    <t>ÁH-on belüle megelőlegezések</t>
  </si>
  <si>
    <t>ÁH-on belüle megelőlegezések visszafizetése</t>
  </si>
  <si>
    <t>Önkormányzatok és önkormányzati hivatalok jogalkotás és általános igazgatási tevékenysége - munkáltatói kölcsön</t>
  </si>
  <si>
    <t>Más szerv részére végzett pénzügyi-gazdálkodási, üzem., egyéb szolg. - munkáltatói kölcsön</t>
  </si>
  <si>
    <t>Önkormányzatok és önkormányzati hivatalok jogalkotás és általános igazgatási tevékenysége - munkáltatói kölcsön folyósítás</t>
  </si>
  <si>
    <t>Kiskastély</t>
  </si>
  <si>
    <t>Makettpark</t>
  </si>
  <si>
    <t>Közmunkaprogram</t>
  </si>
  <si>
    <t>Diákmunka</t>
  </si>
  <si>
    <t>Rendezvények</t>
  </si>
  <si>
    <t>Sportcsarnok, sportpálya, sportöltöző működtetése és fejlesztése</t>
  </si>
  <si>
    <t>Lovarda, lovarda wellnes</t>
  </si>
  <si>
    <t>Helyi adó bevételek</t>
  </si>
  <si>
    <t>Lakások</t>
  </si>
  <si>
    <t>ÁH-on belüli megelőlegezések</t>
  </si>
  <si>
    <t>Kisbéri Közös Önk-i Hivatal</t>
  </si>
  <si>
    <t>2023.</t>
  </si>
  <si>
    <t>2023. évi ei.</t>
  </si>
  <si>
    <t>Kisbéri Gyöngyszem Óvoda és Bölcsőde</t>
  </si>
  <si>
    <t>Városi disznótor</t>
  </si>
  <si>
    <t>Könyvtár</t>
  </si>
  <si>
    <t>Állami támogatás</t>
  </si>
  <si>
    <t>Felh.c.garancia és kezességváll.m.köt.ÁH kívülre</t>
  </si>
  <si>
    <t xml:space="preserve">Iparterület fejlesztése (TOP-1.1.1-15) </t>
  </si>
  <si>
    <t>Kamatbevétel</t>
  </si>
  <si>
    <t>Közfoglalkoztatás</t>
  </si>
  <si>
    <t>Múzeumi kiállítási tevékenység - Kiskastély</t>
  </si>
  <si>
    <t>Makettpark  -Történelmi hely, építmény, egyéb látványoság működtetése, megóvása</t>
  </si>
  <si>
    <t>Lovarda</t>
  </si>
  <si>
    <t>Elszámolások a központi költségvetéssel</t>
  </si>
  <si>
    <t>Roma nemzetiségi önkormányzat működés biztosítása</t>
  </si>
  <si>
    <t>Lakások fenntartása, üzemeltetése</t>
  </si>
  <si>
    <t>Ipari park pályázat TOP-1.1.1-15</t>
  </si>
  <si>
    <t>Helyi identitás pályázat TOP-5.3.1-16</t>
  </si>
  <si>
    <t>Belvárosi városközpont revitalizációja pályázat</t>
  </si>
  <si>
    <t>Wass Albert Művelődési Központ és Városi Könyvtár</t>
  </si>
  <si>
    <t>Kötelelező összesen</t>
  </si>
  <si>
    <t>Önként vállalt összesen</t>
  </si>
  <si>
    <t>Aállamigazgatási feladatok összesen</t>
  </si>
  <si>
    <t>Települési önk. gyermekétkeztetési felad.támogatása</t>
  </si>
  <si>
    <t>Települési önk. köznevelési fea.támogatása</t>
  </si>
  <si>
    <t>Települési önk. szociális és gyj.fea.támogatása</t>
  </si>
  <si>
    <t xml:space="preserve">Települési önk. kulturális fea.tám. </t>
  </si>
  <si>
    <t>KÖH Kisbér műk.hj. Császár önk.</t>
  </si>
  <si>
    <t>Közös Önkormányzati Hivatal</t>
  </si>
  <si>
    <t>Pályázatok</t>
  </si>
  <si>
    <t>Tárgyévi EU-s támogatás előirányzata</t>
  </si>
  <si>
    <t>Tárgyévi kiadások előirányzata</t>
  </si>
  <si>
    <t>Projekt összköltsége (pályázat szerint)</t>
  </si>
  <si>
    <t>Saját erő (pályázat szerint)</t>
  </si>
  <si>
    <t>Egyéb felh.kiadás</t>
  </si>
  <si>
    <t>Covid-tesztek vásárlásához önk-ok támogatása</t>
  </si>
  <si>
    <t>Egyéb működési kiadás (elvonás)</t>
  </si>
  <si>
    <t>Kisbéri Közös Önkormányzati Hivatal</t>
  </si>
  <si>
    <t>Kisbéri Többcélú Kistérségi Társulás</t>
  </si>
  <si>
    <t>Bölcsőde</t>
  </si>
  <si>
    <t>bölcsőde konyha</t>
  </si>
  <si>
    <t>Nyári diákmunka</t>
  </si>
  <si>
    <t>Bölcsödei ellátás</t>
  </si>
  <si>
    <t>Bölcsődei étkeztetés</t>
  </si>
  <si>
    <t>Felhalmozási célú tartalék</t>
  </si>
  <si>
    <t>Egyéb működési célú kiadások (tartalék nélkül)</t>
  </si>
  <si>
    <t>működési tartalék összegét</t>
  </si>
  <si>
    <t>felhalmozási tartalék összegét</t>
  </si>
  <si>
    <t>Műk.c.peszk.átad. ÁH kívülre - fogorvos egyszer TB támogatás átadás</t>
  </si>
  <si>
    <t>Időskorúak tartós bentlakásos ellátása - böli konyha</t>
  </si>
  <si>
    <t>Szociális étkeztetés szociális konyhán</t>
  </si>
  <si>
    <t>Finanszírozási műveletek -maradvány</t>
  </si>
  <si>
    <t>Szociális étkteztetés</t>
  </si>
  <si>
    <t>KÖH - Informatikai eszközök beszerzése,  létesítése (</t>
  </si>
  <si>
    <t>Szent János tér Híd felújítás</t>
  </si>
  <si>
    <t>Útfelújítási Alap</t>
  </si>
  <si>
    <t>2024.</t>
  </si>
  <si>
    <t>2024. évi ei.</t>
  </si>
  <si>
    <t>1.1.1.1.</t>
  </si>
  <si>
    <t>Önkormányzati hivatal működésének támogatása (székhelynél)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</si>
  <si>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</si>
  <si>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</si>
  <si>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</si>
  <si>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</si>
  <si>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</si>
  <si>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</si>
  <si>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</si>
  <si>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</si>
  <si>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</si>
  <si>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1.1.1.7.</t>
  </si>
  <si>
    <t>1.1.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</si>
  <si>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</si>
  <si>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</si>
  <si>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</si>
  <si>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1.2.1.2.</t>
  </si>
  <si>
    <t>Óvodaműködtetési támogatás - óvoda napi nyitvatartási ideje nem éri el a nyolc órát, de eléri a hat órát</t>
  </si>
  <si>
    <t>1.2.2.1.</t>
  </si>
  <si>
    <t>pedagógusok átlagbéralapú támogatása</t>
  </si>
  <si>
    <t>1.2.3.1.1.1.1.</t>
  </si>
  <si>
    <t>pedagógus II. kategóriába sorolt pedagógusok, pedagógus szakképzettséggel rendelkező segítők kiegészítő támogatása</t>
  </si>
  <si>
    <t>1.2.5.1.1.</t>
  </si>
  <si>
    <t>pedagógus szakképzettséggel nem rendelkező segítők átlagbéralapú támogatása</t>
  </si>
  <si>
    <t>1.2.</t>
  </si>
  <si>
    <t>1.3.1.</t>
  </si>
  <si>
    <t>A települési önkormányzatok szociális és gyermekjóléti feladatainak egyéb támogatása</t>
  </si>
  <si>
    <t>1.3.2.1.</t>
  </si>
  <si>
    <t>1.3.2.2.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</si>
  <si>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</si>
  <si>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</si>
  <si>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</si>
  <si>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</si>
  <si>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1.3.2.4.1.</t>
  </si>
  <si>
    <t>Szociális segítés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</si>
  <si>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</si>
  <si>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</si>
  <si>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</si>
  <si>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</si>
  <si>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</si>
  <si>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</si>
  <si>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</si>
  <si>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</si>
  <si>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</si>
  <si>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</si>
  <si>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</si>
  <si>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</si>
  <si>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</si>
  <si>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1.3.4.1.</t>
  </si>
  <si>
    <t>Bértámogatás</t>
  </si>
  <si>
    <t>1.3.4.2.</t>
  </si>
  <si>
    <t>Intézményüzemeltetési támogatás</t>
  </si>
  <si>
    <t>1.3.</t>
  </si>
  <si>
    <t>A települési önkormányzatok szociális és gyermekjóléti feladatainak támogatása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</si>
  <si>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</si>
  <si>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</si>
  <si>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</si>
  <si>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</si>
  <si>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</si>
  <si>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</si>
  <si>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étkezési adag</t>
  </si>
  <si>
    <t>1.4.</t>
  </si>
  <si>
    <t>A települési önkormányzatok gyermekétkeztetési feladatainak támogatása</t>
  </si>
  <si>
    <t>1.5.1.</t>
  </si>
  <si>
    <t>1.5.2.</t>
  </si>
  <si>
    <t>1.5.3.</t>
  </si>
  <si>
    <t>1.5.4.</t>
  </si>
  <si>
    <t>1.5.5.</t>
  </si>
  <si>
    <t>1.5.</t>
  </si>
  <si>
    <t>2.2.3</t>
  </si>
  <si>
    <t>42.5.5.</t>
  </si>
  <si>
    <t xml:space="preserve">Önkormányzati szolidaritási hozzájárulás </t>
  </si>
  <si>
    <t>TOP-1.1.1-15.KO1-2020-00004 Ipari park</t>
  </si>
  <si>
    <t xml:space="preserve">Térségi együttműködés EFOP-3.9.2-16-2017-00018 </t>
  </si>
  <si>
    <t>BURSA Hungarica</t>
  </si>
  <si>
    <t>21/2021.(I.12.) PM hat. Tiszteletdíj</t>
  </si>
  <si>
    <t>kötelező</t>
  </si>
  <si>
    <t>Központi költségetési befizetések</t>
  </si>
  <si>
    <t>Kisbéri KÖH működési hozzájárulás Császártól</t>
  </si>
  <si>
    <t>Felhívás ipari parkok, iparterületek fejlesztésére
/TOP-1.1.1-15-KO1-2020-00004/</t>
  </si>
  <si>
    <t xml:space="preserve">a) A WAMK-ban alkalmazva 03.01-től  8 hóra  2 fő főállású  makettpark, </t>
  </si>
  <si>
    <t>Bölcsőde Deák F.u. TOP-1.4.1-19</t>
  </si>
  <si>
    <t>Szent János tér híd</t>
  </si>
  <si>
    <t>Útfelújítások</t>
  </si>
  <si>
    <t>&gt;</t>
  </si>
  <si>
    <t>2025.</t>
  </si>
  <si>
    <t>2025. évi ei.</t>
  </si>
  <si>
    <t>Irányítószervi támogatás Közös Önkormányzati Hivatal</t>
  </si>
  <si>
    <t>ovi - kisértékű eszközök</t>
  </si>
  <si>
    <t>Szoc.ágazati pótlék fedezete</t>
  </si>
  <si>
    <t>Elvonások és befizetések - szolidaritási hozzájárulás</t>
  </si>
  <si>
    <t>Elvonások és befizetések - előző évi elszámolásokból eredő befizetések</t>
  </si>
  <si>
    <t>Működési célú tartalék</t>
  </si>
  <si>
    <t>konyha</t>
  </si>
  <si>
    <t>Családok Átmeneti Otthona</t>
  </si>
  <si>
    <t>szakmai</t>
  </si>
  <si>
    <t>segítők</t>
  </si>
  <si>
    <t>Közművelődési feladatok</t>
  </si>
  <si>
    <t>Védőnői Szolgálat</t>
  </si>
  <si>
    <t>Piac felújítás</t>
  </si>
  <si>
    <t>Orvosi ügyelet</t>
  </si>
  <si>
    <t>2023. évi eredeti terv</t>
  </si>
  <si>
    <t>Kisbér Város Önkormányzata és az általa irányított költségvetési szervek 2023. évi bevételei forrásonként ( Ft-ban)</t>
  </si>
  <si>
    <t xml:space="preserve"> Ft-ban</t>
  </si>
  <si>
    <t>Kisbér Város Önkormányzata és az általa irányított költségvetési szervek 2023. évi kiadásai</t>
  </si>
  <si>
    <t>( kiemelt előirányzatok szerinti részletezésben )  Ft-ban</t>
  </si>
  <si>
    <t xml:space="preserve">Kisbér Város Önkormányzata 2023. évi </t>
  </si>
  <si>
    <t>Kisbér Város Önkormányzata beruházási kiadásai feladatonként (ÁFA-val) 2023. évre  Ft-ban</t>
  </si>
  <si>
    <t>Kisbér Város Önkormányzata felújítási kiadásai célonként (ÁFA-val) 2023. évre  Ft-ban</t>
  </si>
  <si>
    <t>Kisbér Város Önkormányzata 2023. évi költségvetési hiánya</t>
  </si>
  <si>
    <t>Kisbér Város Önkormányzata 2023. évi tartalékai  Ft-ban</t>
  </si>
  <si>
    <t>Kisbér Város Önkormányzat 2023. évi bevételei feladatonkénti és bevételi forrásonkénti bontásban ( Ft-ban )</t>
  </si>
  <si>
    <t>Kisbér Város Önkormányzat 2023. évi kiadásai feladatok és kiemelt előirányzatok szerinti bontásban ( Ft-ban)</t>
  </si>
  <si>
    <t>Kisbéri Közös Önkormányzati Hivatal 2023. évi bevételei feladatonkénti és bevételi forrásonkénti bontásban ( Ft-ban )</t>
  </si>
  <si>
    <t>Kisbér Város Önkormányzata irányítása alá tartozó önállóan működő intézmények 2023. évi bevételei feladatonkénti és bevételi forrásonkénti bontásban ( Ft-ban )</t>
  </si>
  <si>
    <t>Kisbér Város Önkormányzata irányítása alá tartozó önállóan működő intézmények 2023. évi kiadásai feladatok és kiemelt előirányzatok szerinti bontásban ( Ft-ban )</t>
  </si>
  <si>
    <t>Kisbér Város Önkormányzata által foglalkoztatottak létszámának alakulása 2023. évben</t>
  </si>
  <si>
    <t>Álláshelyek száma (2023. jan. 1.) Egész álláshelyben számítva</t>
  </si>
  <si>
    <t>2026.</t>
  </si>
  <si>
    <t>Kisbér Város Önkormányzata 2023. évi költségvetési egyenlegeinek bemutatása</t>
  </si>
  <si>
    <t>Kisbér Város Önkományzata egyes 2023. évi bevételeinek és kiadásainak részletezése</t>
  </si>
  <si>
    <t>Műk.c.visszat.tám.megt. ÁH kívülről</t>
  </si>
  <si>
    <t>Kisbér Város 2023. évi költségvetésében többéves kihatással járó feladatok</t>
  </si>
  <si>
    <t>e  Ft-ban</t>
  </si>
  <si>
    <t>Kisbér Város Önkormányzata 2023. évi közgazdasági mérlege ( Ft-ban)</t>
  </si>
  <si>
    <t xml:space="preserve">2023. évi eredeti ei. </t>
  </si>
  <si>
    <t>Kisbér Város  Önkormányzata által 2023. évben biztosítandó kedvezmények</t>
  </si>
  <si>
    <t>2026. évi ei.</t>
  </si>
  <si>
    <t>Kisbér Város Önkormányzata 2023-2026. évi bevételeinek</t>
  </si>
  <si>
    <t xml:space="preserve">Kisbér Város Önkormányzata 2023. évi előirányzatfelhasználási és likviditási ütemterve </t>
  </si>
  <si>
    <t xml:space="preserve">Kisbér Város Önkormányzata 2023. évi központi forrásból származó bevételeinek jogcímenkénti alakulása </t>
  </si>
  <si>
    <t>Kisbér Város Önkormányzatának 2022. évi maradvány igénybevétele cél szerinti tagolásban ( Ft-ban)</t>
  </si>
  <si>
    <t>Közvilágítás kiegészítő támogatása</t>
  </si>
  <si>
    <t xml:space="preserve">KÖH - kis értékű tárgyi eszközök beszerzése, létesítése </t>
  </si>
  <si>
    <t>VIG -Nagyteljesítményű benzinmotoros fűrész</t>
  </si>
  <si>
    <t>VIG Szakipari kisgépek</t>
  </si>
  <si>
    <t>VIG Hűtőszekrény (100), porszívó (40)</t>
  </si>
  <si>
    <t>VIG Kisértékű kézi szerszámok</t>
  </si>
  <si>
    <t>VIG temetői közkutak cseréje</t>
  </si>
  <si>
    <t>VIG Angol-park fahíd átépítés</t>
  </si>
  <si>
    <t>25.</t>
  </si>
  <si>
    <t>26.</t>
  </si>
  <si>
    <t>27.</t>
  </si>
  <si>
    <t>30.</t>
  </si>
  <si>
    <t>31.</t>
  </si>
  <si>
    <t>VIG Targonca felújítás</t>
  </si>
  <si>
    <t>WAMK - kisértékű eszközök - könyvtár, LED fal</t>
  </si>
  <si>
    <t xml:space="preserve">ŐNIO - gép, ber., használati tárgyak </t>
  </si>
  <si>
    <t>Csapadékvíz elv.</t>
  </si>
  <si>
    <t xml:space="preserve">TOP-PLUSZ-1.1.1-21-KO1-2022-00001 Piac </t>
  </si>
  <si>
    <t>Közterület heasználati díjak</t>
  </si>
  <si>
    <t>ÁFA visszatérülés - ipari park+piac</t>
  </si>
  <si>
    <t>KÖH Császári Kirendeltség 2022. évi elszámolás</t>
  </si>
  <si>
    <t>Orvosi ügyelet Rendezvényszervező Kft</t>
  </si>
  <si>
    <t>ITS felülvizgálat</t>
  </si>
  <si>
    <t>Piac kialakítás FAD + tartalék 9950 e</t>
  </si>
  <si>
    <t>Piac kialakítás -műszaki ellenőr</t>
  </si>
  <si>
    <t>Energetikai beruházások - Vita-Sütő részvény ért-ból</t>
  </si>
  <si>
    <t>Számítástechnikai eszközök - szervercsere SALDO</t>
  </si>
  <si>
    <t>Kiállítóterem paravánrendszer, sínrendszer WAMK</t>
  </si>
  <si>
    <t>Piac - fém asztalok FAD</t>
  </si>
  <si>
    <t>Felső-temető kerítésépítés</t>
  </si>
  <si>
    <t>Közlekedési táblák</t>
  </si>
  <si>
    <t xml:space="preserve">Új makettek építése </t>
  </si>
  <si>
    <t>Védőnők hallásvizsgáló,magzati szívhang,forgószékek</t>
  </si>
  <si>
    <t>Kisértékű tárgyi eszközök</t>
  </si>
  <si>
    <t>WAMK légcserélő berendezés felúj. 347/2022 hat.</t>
  </si>
  <si>
    <t>Csatorna hálózat beruházás ÉDV Zrt. (2021-ről áthúzódó összeg 98.133.606,-Ft - 2021. évi fú 15.701.006,- Ft + 2021. 28.553.690,- Ft ) = 110.986.290,- Ft+10.000.000,- Ft</t>
  </si>
  <si>
    <t>Angol-park járdafelúj. Pokol sarkánál kb 20 m</t>
  </si>
  <si>
    <t>Batthyány tér 4/D társasház tulajdonrész arányos fú 291/2021</t>
  </si>
  <si>
    <t>Csapadékvízelvez. Fejlesztése</t>
  </si>
  <si>
    <t>Főtér - feújítás, műszaki ellenőr, tervezés</t>
  </si>
  <si>
    <t>Lovarda felújítás - visszapótlásból (340/2022 hat tűzjelző kp csere 2.5344,031,-Ft)</t>
  </si>
  <si>
    <t>Identitás - pályázati támogtás részleges visszafizetése</t>
  </si>
  <si>
    <t>Rendezvénytér- kamerarendszer beüzemeléséhez szükséges eszközök</t>
  </si>
  <si>
    <t>VIG 5 db Jászberényi tip. Szemétgyűjtő</t>
  </si>
  <si>
    <t>1334/2019.(VI.5.) Korm.határozathoz 2020. 2021. 2022. és 2023. évi önerő</t>
  </si>
  <si>
    <t>Külsös étkeztetés</t>
  </si>
  <si>
    <t>Népszámlálás</t>
  </si>
  <si>
    <t>Császári kirendeltség</t>
  </si>
  <si>
    <t>Közterület rendjének fenntartása- munkáltatói kölcsön</t>
  </si>
  <si>
    <r>
      <t xml:space="preserve">TOP-PLUSZ-1.1.1.-21-KO1-2022-00001 </t>
    </r>
    <r>
      <rPr>
        <b/>
        <sz val="8"/>
        <rFont val="Calibri"/>
        <family val="2"/>
      </rPr>
      <t>PIAC</t>
    </r>
  </si>
  <si>
    <t>Csapadékvíz elvezetés pályázat</t>
  </si>
  <si>
    <t>Ipari Park</t>
  </si>
  <si>
    <t>Előző évi  maradvány, 2022. évi előleg</t>
  </si>
  <si>
    <t>Császár Önkorm. 2022. évi elszámolás</t>
  </si>
  <si>
    <t>Fogorvosi ellátás</t>
  </si>
  <si>
    <t>Főtér működési kiad.</t>
  </si>
  <si>
    <t>Belvárosi városközpont revitalizációja pályázat 800 M Ft</t>
  </si>
  <si>
    <t>Belvárosi városközpont revitalizációja pályázat 1.270 M Ft</t>
  </si>
  <si>
    <t>Bölcsőde fejlesztés Deák F.u.</t>
  </si>
  <si>
    <t>Csapadékvíz elvezetés</t>
  </si>
  <si>
    <t>TOP-PLUSZ-1.1.1-21-KO1-2022-00001 Piac felújítás</t>
  </si>
  <si>
    <t>Nyert/megvalósítás folyamatban</t>
  </si>
  <si>
    <t>Kisbér netó 672.428.637,- Ft)</t>
  </si>
  <si>
    <t>Nettó 199.357.050,-</t>
  </si>
  <si>
    <t>C sapadékvíz elvezetésének fejlesztése</t>
  </si>
  <si>
    <t>TOP-PLUSZ-1.2.1-21-KO1-2022-00012</t>
  </si>
  <si>
    <t>VIG épületfelújítás -  fűtési rendszer korszerűsítése, födém szigetelés</t>
  </si>
  <si>
    <t>32.</t>
  </si>
  <si>
    <t>33.</t>
  </si>
  <si>
    <t>34.</t>
  </si>
  <si>
    <t>35.</t>
  </si>
  <si>
    <t>36.</t>
  </si>
  <si>
    <t>37.</t>
  </si>
  <si>
    <t>38.</t>
  </si>
  <si>
    <t>TOP-PLUSZ-1.2.1-21-KO1-2022-00012 csapadékvíz elvez.fejl.</t>
  </si>
  <si>
    <t>Főtér Projekt 1.270 M Ft</t>
  </si>
  <si>
    <t>Főtér Projekt 800 M Ft</t>
  </si>
  <si>
    <t>1334/2019.(VI.5.) Korm.határozathoz önerő</t>
  </si>
  <si>
    <t>ITS felülvizsgálat</t>
  </si>
  <si>
    <t>Energetikai beruházások</t>
  </si>
  <si>
    <t>Wamk légcserélő felújítás</t>
  </si>
  <si>
    <t>Angol park járdafelúj.</t>
  </si>
  <si>
    <t>Batthyány tér 4/D tulajdonarányos felújítás</t>
  </si>
  <si>
    <t>Kis értékű tárgyi eszközök</t>
  </si>
  <si>
    <t>WAMK kiállítóterem araván rendszer</t>
  </si>
  <si>
    <t>Rendezvénytér kamera rendszer</t>
  </si>
  <si>
    <t>Felső-temető kerítés építés</t>
  </si>
  <si>
    <t>Új makettek építése</t>
  </si>
  <si>
    <t>Védőnők gépbeszerzés</t>
  </si>
  <si>
    <t>2022. dec-i szállítói kötelezettség</t>
  </si>
  <si>
    <t>VIG födémszigetelés, fűtés korsz.</t>
  </si>
  <si>
    <t xml:space="preserve">2023. évi kiadásokra </t>
  </si>
  <si>
    <t>b) Közfoglalkoztatott 8 fő 2023. 02.28-ig,  átlaglétszám 1 fő, március 1-től újabb program  8 fő,éves eng. átlag 8 fő</t>
  </si>
  <si>
    <t>2022.év Népszámláláspü-i  elszámolása</t>
  </si>
  <si>
    <t>Kulturális bérfejl.támog. 2022.évi elszámolása</t>
  </si>
  <si>
    <t>Cultplay - pályázati támogatásból visszafizetendő</t>
  </si>
  <si>
    <t>Csapadék elvezetés fejlesztése</t>
  </si>
  <si>
    <t>Piac felújítása</t>
  </si>
  <si>
    <t>Babaköszöntő csomag</t>
  </si>
  <si>
    <t>BURSA HUNGARCIA - átadott pénzeszköz ÁH-on belülre</t>
  </si>
  <si>
    <t>WAMK átvett támog.</t>
  </si>
  <si>
    <t>2023. évi módosított terv</t>
  </si>
  <si>
    <t xml:space="preserve">2023. évi módosított ei. </t>
  </si>
  <si>
    <t>Kisbér Város Önkormányzata 2023. évi működési célú bevételek és kiadások mérlege (e Ft-ban)</t>
  </si>
  <si>
    <t>Kisbér Város Önkormányzata 2023. évi felhalmozási célú bevételek és kiadások mérlege (e Ft-ban)</t>
  </si>
  <si>
    <t>Szociális ágazati pótlék</t>
  </si>
  <si>
    <t>Egészségügyi kiegészítő pótlék</t>
  </si>
  <si>
    <t xml:space="preserve">A szomszédos országban fennálló humanitárius katasztrófára tekintettel érkező személyek elhelyezésének támog-ról és az azzal kapcs.egyéb int.szóló 104/2022. (III. 12.) Korm.rend.szerinti támogatás </t>
  </si>
  <si>
    <t xml:space="preserve">Lakossági víz- és csatornaszolgáltatás támogatása </t>
  </si>
  <si>
    <t>A települési önkormányzatok működési célú és kiegészítő támogatások</t>
  </si>
  <si>
    <t>Hosszabb idejű közfogl.2023.évi program 03.01-11.30.</t>
  </si>
  <si>
    <t>Közfoglalkoztatás támogatása 2022-ről áthúzódó</t>
  </si>
  <si>
    <t>2 db 6 urnás urnafal vásárlása</t>
  </si>
  <si>
    <t>Ukrán menekültek ellátása</t>
  </si>
  <si>
    <t xml:space="preserve">  e Ft-ban</t>
  </si>
  <si>
    <t>Őszi Napfény Idősek Otthona int.üzemeltetési támog.-2023. májusi felmérés</t>
  </si>
  <si>
    <t>Csatorna pályázati támogatás átadás ÉDV Zrt-nek</t>
  </si>
  <si>
    <t xml:space="preserve">Közösségi - és zöldinfrastruktúra fejlesztés támog. TOP_PLUSZ-1.2.1-21-KO1-2022-00068 </t>
  </si>
  <si>
    <t xml:space="preserve">Kisbér-Veszprémvarsány összekötőút lámpa </t>
  </si>
  <si>
    <t>ISV266 jármű felújítás</t>
  </si>
  <si>
    <t>WAMK tetőfelújítás 210/2023</t>
  </si>
  <si>
    <t>Közterületfelügyelet részére jármű vásárlás + járulékos kiadások 119/2023</t>
  </si>
  <si>
    <t>Hivatal épületfelújítás terve 192/2023</t>
  </si>
  <si>
    <t>Közösségi - és zöldinfrastruktúra fejlesztés támog. TOP_PLUSZ-1.2.1-21-KO1-2022-00068</t>
  </si>
  <si>
    <t xml:space="preserve">Energetikai korszerűsítés TOP_PLUSZ-2.1.1-21-KO1-2022-00007 </t>
  </si>
  <si>
    <t>Hánta temető előtető</t>
  </si>
  <si>
    <t>Országos Pályafelújítási Program pályázati önerő biztosítása 102/2023</t>
  </si>
  <si>
    <t xml:space="preserve">Nyári diákmunka </t>
  </si>
  <si>
    <t xml:space="preserve">TOP_PLUSZ-1.2.1-21-KO1-2022-00068 Közösségi - és zöldinfrastruktúra fejlesztés támog. </t>
  </si>
  <si>
    <t xml:space="preserve">TOP_PLUSZ-2.1.1-21-KO1-2022-00007 Energetikai korszerűsítés </t>
  </si>
  <si>
    <t>1730/4 hrsz-ú ingatlan értékesítés 214/2023</t>
  </si>
  <si>
    <t>Kisbéri Napok megrendezéséhez támogatás</t>
  </si>
  <si>
    <t xml:space="preserve"> bérkorrekciós támogatás Kvtv.3.melléklet</t>
  </si>
  <si>
    <t xml:space="preserve">VIG konyha - vízlágyító berendezés </t>
  </si>
  <si>
    <t>WAMK - színpadfelújítás</t>
  </si>
  <si>
    <t xml:space="preserve">TOP_PLUSZ-2.1.1-21-KO1-2022-00007 </t>
  </si>
  <si>
    <t xml:space="preserve">Energetikai korszerűsítés </t>
  </si>
  <si>
    <t>TOP_PLUSZ-1.2.1-21-KO1-2022-00068</t>
  </si>
  <si>
    <t xml:space="preserve">Közösségi - és zöldinfrastruktúra fejlesztés támog. </t>
  </si>
  <si>
    <t>Álláshelyek száma (2023. aug. 1.) Egész álláshelyben számítva</t>
  </si>
  <si>
    <t>d) Nyári diákmunka 07.03-07.21. 6   fő - egész létszámra kerekítve 0 fő</t>
  </si>
  <si>
    <t>c) 2023. 08. 01-től 1 fő létszám engedélyezése 208/2023. hat.</t>
  </si>
  <si>
    <t>e) 2023.07.01-től a védőnők áthelyezésre kerültek a megyéhez, éves átlaglétszám egészre kerekítve 2 fő</t>
  </si>
  <si>
    <t>Működési tartalékba helyezés</t>
  </si>
  <si>
    <t>KÖH maradványa Népszámlálás bérkiadásra</t>
  </si>
  <si>
    <t>VIG, WAMK, ovi, szoc.otthon maradványa közüzemi díjakra</t>
  </si>
  <si>
    <t>Energetikai korszerűsítés TOP_PLUSZ-2.1.1-21-KO1-2022-00007</t>
  </si>
  <si>
    <t>Óvodai, bölcsődei működés</t>
  </si>
  <si>
    <t>Cultplay</t>
  </si>
  <si>
    <t>Országos Pályafelújítási Program</t>
  </si>
  <si>
    <t>Kerékpárút</t>
  </si>
  <si>
    <t>Császári kirendeltség Önkormányzatok és önkormányzati hivatalok jogalkotás és általános igazgatási tevékenysége</t>
  </si>
  <si>
    <t>pályázat és támogatáskezelés, ellenőrzés</t>
  </si>
  <si>
    <t>Császári Kirendeltség Önkormányzatok és önkormányzati hivatalok jogalkotás és általános igazgatási tevékenysége</t>
  </si>
  <si>
    <t>Császári Kirendeltség Más szerv részére végzett pénzügyi-gazdálkodási, üzem., egyéb szolg.</t>
  </si>
  <si>
    <t>Könytári állomány gyarapítása</t>
  </si>
  <si>
    <t>Önkormányzati funkcióra nem soroható bev.</t>
  </si>
  <si>
    <t xml:space="preserve">VIG egyéb szakipari gépek </t>
  </si>
  <si>
    <t>WAMK függönyök</t>
  </si>
  <si>
    <t xml:space="preserve">Önkományzatoktól átvett összeg köztemetés </t>
  </si>
  <si>
    <t>Önkormányzatoktób átvett háziorvosi ügyelet díjkülönbözet</t>
  </si>
  <si>
    <t>Elszámolásból eredő bevételek</t>
  </si>
  <si>
    <t>Elszámolásból származó bevételek - IPA kiegészítés</t>
  </si>
  <si>
    <t>2023. évi megelőlegezés</t>
  </si>
  <si>
    <t>Főtér projekt 2022. évi Kvtv szerinti támogatás részlet</t>
  </si>
  <si>
    <t>Igazgatási szolg.díj, elj.illeték</t>
  </si>
  <si>
    <t>Ebketrec fenntartási díja</t>
  </si>
  <si>
    <t>Felh.c.peszk.átad. ÁH belül KTKT - Drón megvásárlásának támogatása</t>
  </si>
  <si>
    <t>TOP_PLUSZ-1.2.1-21-KO1-2022-0001 - csapadékvíz elvez. 4.sz.mód.igény miatt</t>
  </si>
  <si>
    <t>Kisbéri Római Katolikus Plébánia felhalmozási célú támogatás</t>
  </si>
  <si>
    <t>Rendezvénytér - teás bódé késíztése</t>
  </si>
  <si>
    <t>Játszótéri eszközök - Hánta ovi</t>
  </si>
  <si>
    <t>Kisértékű eszközök besz.</t>
  </si>
  <si>
    <t>Főtér - 2022. évi kvtv szerinti támogatásból</t>
  </si>
  <si>
    <t>Hánta óvoda épületfelújítás</t>
  </si>
  <si>
    <t>AH belüli megelőlegezések</t>
  </si>
  <si>
    <t>Önkormányzatok igazgatási tevékenysége</t>
  </si>
  <si>
    <t>Civil szervezetek, egyházak  támogatása</t>
  </si>
  <si>
    <t>Köztemetésre átvett más önkormányzatoktól</t>
  </si>
  <si>
    <t>Önkormányzatoktól átvett háziorvosi ügyelet díjkülönbözet</t>
  </si>
  <si>
    <t>Közterület rendje</t>
  </si>
  <si>
    <t>BURSA támogatás, civil szeveztek támog. visszautalás</t>
  </si>
  <si>
    <t>Főtér - 2022. évi Kvtv szerinti</t>
  </si>
  <si>
    <t>melléklet a …/2024. (III.  .) önkormányzati rendelethez</t>
  </si>
  <si>
    <t>Településfejlesztés projekt repi</t>
  </si>
  <si>
    <t>Szünidei rászoruló gyermekétkeztetés</t>
  </si>
  <si>
    <t xml:space="preserve">Lakások fenntartása, üzemeltetése </t>
  </si>
  <si>
    <t>Ű=</t>
  </si>
  <si>
    <t>Önkormányzatok funkcióra nem sorolható bevételei államháztartáson kívülről - külsős és szoc.étkeztetés szabad kapacitás terhére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</si>
</sst>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.000"/>
    <numFmt numFmtId="165" formatCode="#,##0_ ;[Red]\-#,##0\ 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86">
    <font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name val="Arial"/>
      <family val="2"/>
    </font>
    <font>
      <b/>
      <u val="single"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ntique Olive"/>
      <family val="2"/>
    </font>
    <font>
      <sz val="10"/>
      <name val="Times New Roman"/>
      <family val="1"/>
    </font>
    <font>
      <sz val="10"/>
      <color indexed="23"/>
      <name val="Calibri"/>
      <family val="2"/>
    </font>
    <font>
      <b/>
      <sz val="8"/>
      <color indexed="8"/>
      <name val="Antique Olive"/>
      <family val="0"/>
    </font>
    <font>
      <sz val="10"/>
      <color indexed="8"/>
      <name val="Arial"/>
      <family val="2"/>
    </font>
    <font>
      <sz val="8"/>
      <color indexed="9"/>
      <name val="Calibri"/>
      <family val="2"/>
    </font>
    <font>
      <b/>
      <sz val="9"/>
      <color indexed="22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Antique Olive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/>
      <bottom/>
    </border>
    <border>
      <left/>
      <right style="medium"/>
      <top/>
      <bottom style="medium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4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8" fillId="0" borderId="20" xfId="0" applyNumberFormat="1" applyFont="1" applyFill="1" applyBorder="1" applyAlignment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left" vertical="center"/>
    </xf>
    <xf numFmtId="0" fontId="11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/>
    </xf>
    <xf numFmtId="0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/>
    </xf>
    <xf numFmtId="0" fontId="16" fillId="0" borderId="0" xfId="58" applyFont="1" applyFill="1">
      <alignment/>
      <protection/>
    </xf>
    <xf numFmtId="0" fontId="17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/>
      <protection/>
    </xf>
    <xf numFmtId="0" fontId="16" fillId="0" borderId="0" xfId="58" applyFont="1" applyFill="1" applyAlignment="1">
      <alignment horizontal="center"/>
      <protection/>
    </xf>
    <xf numFmtId="3" fontId="17" fillId="0" borderId="0" xfId="58" applyNumberFormat="1" applyFont="1" applyFill="1" applyAlignment="1">
      <alignment horizontal="right"/>
      <protection/>
    </xf>
    <xf numFmtId="0" fontId="6" fillId="0" borderId="0" xfId="61" applyFont="1" applyBorder="1" applyAlignment="1">
      <alignment/>
      <protection/>
    </xf>
    <xf numFmtId="0" fontId="4" fillId="0" borderId="0" xfId="62" applyFont="1">
      <alignment/>
      <protection/>
    </xf>
    <xf numFmtId="0" fontId="20" fillId="0" borderId="0" xfId="62" applyFont="1">
      <alignment/>
      <protection/>
    </xf>
    <xf numFmtId="0" fontId="6" fillId="0" borderId="0" xfId="62" applyFont="1">
      <alignment/>
      <protection/>
    </xf>
    <xf numFmtId="0" fontId="22" fillId="0" borderId="37" xfId="70" applyFont="1" applyBorder="1" applyAlignment="1">
      <alignment/>
      <protection/>
    </xf>
    <xf numFmtId="0" fontId="21" fillId="0" borderId="37" xfId="70" applyFont="1" applyBorder="1" applyAlignment="1">
      <alignment horizontal="left"/>
      <protection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29" xfId="70" applyFont="1" applyBorder="1">
      <alignment/>
      <protection/>
    </xf>
    <xf numFmtId="0" fontId="8" fillId="0" borderId="0" xfId="0" applyFont="1" applyBorder="1" applyAlignment="1">
      <alignment horizontal="center"/>
    </xf>
    <xf numFmtId="0" fontId="21" fillId="0" borderId="37" xfId="70" applyFont="1" applyBorder="1" applyAlignment="1">
      <alignment/>
      <protection/>
    </xf>
    <xf numFmtId="0" fontId="10" fillId="0" borderId="0" xfId="0" applyFont="1" applyAlignment="1">
      <alignment/>
    </xf>
    <xf numFmtId="0" fontId="8" fillId="0" borderId="38" xfId="0" applyFont="1" applyBorder="1" applyAlignment="1">
      <alignment horizontal="center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16" fillId="0" borderId="0" xfId="58" applyNumberFormat="1" applyFont="1" applyFill="1" applyAlignment="1">
      <alignment horizontal="right"/>
      <protection/>
    </xf>
    <xf numFmtId="0" fontId="21" fillId="0" borderId="29" xfId="70" applyFont="1" applyBorder="1">
      <alignment/>
      <protection/>
    </xf>
    <xf numFmtId="3" fontId="3" fillId="0" borderId="0" xfId="0" applyNumberFormat="1" applyFont="1" applyAlignment="1">
      <alignment horizontal="center" vertical="center"/>
    </xf>
    <xf numFmtId="3" fontId="3" fillId="0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51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left" vertical="center"/>
    </xf>
    <xf numFmtId="3" fontId="3" fillId="0" borderId="54" xfId="0" applyNumberFormat="1" applyFont="1" applyFill="1" applyBorder="1" applyAlignment="1">
      <alignment horizontal="left" vertical="center"/>
    </xf>
    <xf numFmtId="3" fontId="3" fillId="0" borderId="55" xfId="0" applyNumberFormat="1" applyFont="1" applyFill="1" applyBorder="1" applyAlignment="1">
      <alignment horizontal="left" vertical="center"/>
    </xf>
    <xf numFmtId="3" fontId="8" fillId="0" borderId="56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38" xfId="0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/>
    </xf>
    <xf numFmtId="3" fontId="8" fillId="33" borderId="38" xfId="0" applyNumberFormat="1" applyFont="1" applyFill="1" applyBorder="1" applyAlignment="1">
      <alignment/>
    </xf>
    <xf numFmtId="0" fontId="8" fillId="34" borderId="38" xfId="0" applyFont="1" applyFill="1" applyBorder="1" applyAlignment="1">
      <alignment/>
    </xf>
    <xf numFmtId="3" fontId="8" fillId="34" borderId="38" xfId="0" applyNumberFormat="1" applyFont="1" applyFill="1" applyBorder="1" applyAlignment="1">
      <alignment/>
    </xf>
    <xf numFmtId="0" fontId="8" fillId="0" borderId="38" xfId="0" applyFont="1" applyBorder="1" applyAlignment="1">
      <alignment/>
    </xf>
    <xf numFmtId="164" fontId="21" fillId="0" borderId="60" xfId="70" applyNumberFormat="1" applyFont="1" applyBorder="1">
      <alignment/>
      <protection/>
    </xf>
    <xf numFmtId="164" fontId="22" fillId="0" borderId="60" xfId="70" applyNumberFormat="1" applyFont="1" applyBorder="1">
      <alignment/>
      <protection/>
    </xf>
    <xf numFmtId="164" fontId="9" fillId="0" borderId="0" xfId="0" applyNumberFormat="1" applyFont="1" applyAlignment="1">
      <alignment/>
    </xf>
    <xf numFmtId="164" fontId="21" fillId="0" borderId="37" xfId="70" applyNumberFormat="1" applyFont="1" applyBorder="1">
      <alignment/>
      <protection/>
    </xf>
    <xf numFmtId="164" fontId="10" fillId="0" borderId="0" xfId="0" applyNumberFormat="1" applyFont="1" applyAlignment="1">
      <alignment/>
    </xf>
    <xf numFmtId="164" fontId="2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4" fillId="0" borderId="61" xfId="0" applyNumberFormat="1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164" fontId="4" fillId="0" borderId="64" xfId="0" applyNumberFormat="1" applyFont="1" applyBorder="1" applyAlignment="1">
      <alignment vertical="center"/>
    </xf>
    <xf numFmtId="164" fontId="4" fillId="0" borderId="65" xfId="0" applyNumberFormat="1" applyFont="1" applyBorder="1" applyAlignment="1">
      <alignment vertical="center"/>
    </xf>
    <xf numFmtId="164" fontId="12" fillId="0" borderId="50" xfId="0" applyNumberFormat="1" applyFont="1" applyBorder="1" applyAlignment="1">
      <alignment vertical="center"/>
    </xf>
    <xf numFmtId="164" fontId="7" fillId="0" borderId="64" xfId="0" applyNumberFormat="1" applyFont="1" applyBorder="1" applyAlignment="1">
      <alignment vertical="center"/>
    </xf>
    <xf numFmtId="164" fontId="6" fillId="0" borderId="50" xfId="0" applyNumberFormat="1" applyFont="1" applyBorder="1" applyAlignment="1">
      <alignment vertical="center"/>
    </xf>
    <xf numFmtId="164" fontId="6" fillId="0" borderId="65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8" fillId="0" borderId="38" xfId="0" applyNumberFormat="1" applyFont="1" applyBorder="1" applyAlignment="1">
      <alignment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0" borderId="50" xfId="0" applyNumberFormat="1" applyFont="1" applyBorder="1" applyAlignment="1">
      <alignment vertical="center"/>
    </xf>
    <xf numFmtId="0" fontId="27" fillId="0" borderId="0" xfId="0" applyFont="1" applyAlignment="1">
      <alignment/>
    </xf>
    <xf numFmtId="3" fontId="0" fillId="0" borderId="0" xfId="0" applyNumberFormat="1" applyAlignment="1">
      <alignment/>
    </xf>
    <xf numFmtId="0" fontId="77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vertical="center" wrapText="1"/>
    </xf>
    <xf numFmtId="164" fontId="4" fillId="0" borderId="62" xfId="0" applyNumberFormat="1" applyFont="1" applyBorder="1" applyAlignment="1">
      <alignment/>
    </xf>
    <xf numFmtId="164" fontId="4" fillId="0" borderId="66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" fillId="0" borderId="67" xfId="0" applyFont="1" applyBorder="1" applyAlignment="1">
      <alignment vertical="center" wrapText="1"/>
    </xf>
    <xf numFmtId="0" fontId="4" fillId="0" borderId="69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4" fillId="0" borderId="7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/>
    </xf>
    <xf numFmtId="0" fontId="73" fillId="35" borderId="0" xfId="0" applyFont="1" applyFill="1" applyAlignment="1">
      <alignment/>
    </xf>
    <xf numFmtId="3" fontId="78" fillId="35" borderId="0" xfId="0" applyNumberFormat="1" applyFont="1" applyFill="1" applyAlignment="1">
      <alignment horizontal="right"/>
    </xf>
    <xf numFmtId="3" fontId="79" fillId="35" borderId="0" xfId="0" applyNumberFormat="1" applyFont="1" applyFill="1" applyAlignment="1">
      <alignment horizontal="right"/>
    </xf>
    <xf numFmtId="0" fontId="80" fillId="0" borderId="0" xfId="0" applyFont="1" applyAlignment="1">
      <alignment/>
    </xf>
    <xf numFmtId="3" fontId="81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3" fontId="79" fillId="0" borderId="0" xfId="0" applyNumberFormat="1" applyFont="1" applyAlignment="1">
      <alignment horizontal="right"/>
    </xf>
    <xf numFmtId="0" fontId="81" fillId="0" borderId="0" xfId="0" applyFont="1" applyAlignment="1">
      <alignment horizontal="left" indent="2"/>
    </xf>
    <xf numFmtId="165" fontId="81" fillId="0" borderId="0" xfId="0" applyNumberFormat="1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3" fillId="0" borderId="7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0" fontId="30" fillId="0" borderId="75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36" xfId="0" applyFont="1" applyBorder="1" applyAlignment="1">
      <alignment/>
    </xf>
    <xf numFmtId="3" fontId="3" fillId="0" borderId="75" xfId="0" applyNumberFormat="1" applyFont="1" applyBorder="1" applyAlignment="1">
      <alignment/>
    </xf>
    <xf numFmtId="0" fontId="3" fillId="0" borderId="77" xfId="0" applyFont="1" applyBorder="1" applyAlignment="1">
      <alignment vertical="center"/>
    </xf>
    <xf numFmtId="0" fontId="22" fillId="0" borderId="27" xfId="70" applyFont="1" applyBorder="1">
      <alignment/>
      <protection/>
    </xf>
    <xf numFmtId="0" fontId="22" fillId="0" borderId="72" xfId="70" applyFont="1" applyBorder="1" applyAlignment="1">
      <alignment/>
      <protection/>
    </xf>
    <xf numFmtId="0" fontId="22" fillId="0" borderId="78" xfId="70" applyFont="1" applyBorder="1">
      <alignment/>
      <protection/>
    </xf>
    <xf numFmtId="0" fontId="22" fillId="0" borderId="79" xfId="70" applyFont="1" applyBorder="1" applyAlignment="1">
      <alignment/>
      <protection/>
    </xf>
    <xf numFmtId="0" fontId="21" fillId="0" borderId="79" xfId="70" applyFont="1" applyBorder="1" applyAlignment="1">
      <alignment horizontal="left"/>
      <protection/>
    </xf>
    <xf numFmtId="164" fontId="9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2" fillId="35" borderId="0" xfId="0" applyFont="1" applyFill="1" applyAlignment="1">
      <alignment/>
    </xf>
    <xf numFmtId="0" fontId="21" fillId="0" borderId="80" xfId="70" applyFont="1" applyFill="1" applyBorder="1" applyAlignment="1">
      <alignment horizontal="center" vertical="center"/>
      <protection/>
    </xf>
    <xf numFmtId="0" fontId="21" fillId="0" borderId="81" xfId="70" applyFont="1" applyFill="1" applyBorder="1" applyAlignment="1">
      <alignment horizontal="center" vertical="center"/>
      <protection/>
    </xf>
    <xf numFmtId="0" fontId="21" fillId="0" borderId="82" xfId="70" applyFont="1" applyFill="1" applyBorder="1" applyAlignment="1">
      <alignment horizontal="center" vertical="center"/>
      <protection/>
    </xf>
    <xf numFmtId="164" fontId="22" fillId="0" borderId="83" xfId="70" applyNumberFormat="1" applyFont="1" applyBorder="1">
      <alignment/>
      <protection/>
    </xf>
    <xf numFmtId="164" fontId="22" fillId="0" borderId="84" xfId="70" applyNumberFormat="1" applyFont="1" applyBorder="1">
      <alignment/>
      <protection/>
    </xf>
    <xf numFmtId="164" fontId="22" fillId="0" borderId="85" xfId="70" applyNumberFormat="1" applyFont="1" applyBorder="1">
      <alignment/>
      <protection/>
    </xf>
    <xf numFmtId="164" fontId="22" fillId="0" borderId="86" xfId="70" applyNumberFormat="1" applyFont="1" applyBorder="1">
      <alignment/>
      <protection/>
    </xf>
    <xf numFmtId="0" fontId="21" fillId="0" borderId="87" xfId="70" applyFont="1" applyFill="1" applyBorder="1" applyAlignment="1">
      <alignment horizontal="center" vertical="center"/>
      <protection/>
    </xf>
    <xf numFmtId="0" fontId="21" fillId="0" borderId="88" xfId="70" applyFont="1" applyFill="1" applyBorder="1" applyAlignment="1">
      <alignment horizontal="center" vertical="center"/>
      <protection/>
    </xf>
    <xf numFmtId="0" fontId="21" fillId="0" borderId="66" xfId="70" applyFont="1" applyFill="1" applyBorder="1" applyAlignment="1">
      <alignment horizontal="center" vertical="center"/>
      <protection/>
    </xf>
    <xf numFmtId="0" fontId="21" fillId="0" borderId="89" xfId="70" applyFont="1" applyFill="1" applyBorder="1" applyAlignment="1">
      <alignment horizontal="center" vertical="center"/>
      <protection/>
    </xf>
    <xf numFmtId="0" fontId="21" fillId="0" borderId="90" xfId="70" applyFont="1" applyFill="1" applyBorder="1" applyAlignment="1">
      <alignment horizontal="center" vertical="center"/>
      <protection/>
    </xf>
    <xf numFmtId="0" fontId="21" fillId="0" borderId="91" xfId="70" applyFont="1" applyFill="1" applyBorder="1" applyAlignment="1">
      <alignment horizontal="center" vertical="center"/>
      <protection/>
    </xf>
    <xf numFmtId="0" fontId="21" fillId="0" borderId="92" xfId="70" applyFont="1" applyFill="1" applyBorder="1" applyAlignment="1">
      <alignment horizontal="center" vertical="center"/>
      <protection/>
    </xf>
    <xf numFmtId="0" fontId="21" fillId="0" borderId="93" xfId="70" applyFont="1" applyFill="1" applyBorder="1" applyAlignment="1">
      <alignment horizontal="center" vertical="center"/>
      <protection/>
    </xf>
    <xf numFmtId="0" fontId="22" fillId="0" borderId="94" xfId="70" applyFont="1" applyBorder="1" applyAlignment="1">
      <alignment/>
      <protection/>
    </xf>
    <xf numFmtId="0" fontId="22" fillId="0" borderId="95" xfId="70" applyFont="1" applyBorder="1" applyAlignment="1">
      <alignment/>
      <protection/>
    </xf>
    <xf numFmtId="0" fontId="22" fillId="0" borderId="96" xfId="70" applyFont="1" applyBorder="1" applyAlignment="1">
      <alignment/>
      <protection/>
    </xf>
    <xf numFmtId="0" fontId="21" fillId="0" borderId="96" xfId="70" applyFont="1" applyBorder="1" applyAlignment="1">
      <alignment horizontal="left"/>
      <protection/>
    </xf>
    <xf numFmtId="3" fontId="3" fillId="0" borderId="0" xfId="0" applyNumberFormat="1" applyFont="1" applyAlignment="1">
      <alignment horizontal="right" vertical="center"/>
    </xf>
    <xf numFmtId="3" fontId="8" fillId="0" borderId="97" xfId="0" applyNumberFormat="1" applyFont="1" applyFill="1" applyBorder="1" applyAlignment="1">
      <alignment horizontal="left" vertical="center"/>
    </xf>
    <xf numFmtId="3" fontId="8" fillId="0" borderId="48" xfId="0" applyNumberFormat="1" applyFont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3" fontId="82" fillId="0" borderId="0" xfId="0" applyNumberFormat="1" applyFont="1" applyAlignment="1">
      <alignment horizontal="right"/>
    </xf>
    <xf numFmtId="0" fontId="11" fillId="0" borderId="27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79" fillId="35" borderId="0" xfId="0" applyFont="1" applyFill="1" applyAlignment="1">
      <alignment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 horizontal="right"/>
    </xf>
    <xf numFmtId="0" fontId="78" fillId="35" borderId="0" xfId="0" applyFont="1" applyFill="1" applyAlignment="1">
      <alignment/>
    </xf>
    <xf numFmtId="0" fontId="22" fillId="0" borderId="26" xfId="70" applyFont="1" applyBorder="1">
      <alignment/>
      <protection/>
    </xf>
    <xf numFmtId="0" fontId="4" fillId="0" borderId="70" xfId="0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76" xfId="0" applyNumberFormat="1" applyFont="1" applyBorder="1" applyAlignment="1">
      <alignment vertical="center"/>
    </xf>
    <xf numFmtId="0" fontId="11" fillId="0" borderId="40" xfId="0" applyFont="1" applyFill="1" applyBorder="1" applyAlignment="1">
      <alignment horizontal="left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164" fontId="4" fillId="0" borderId="98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4" fillId="0" borderId="99" xfId="0" applyNumberFormat="1" applyFont="1" applyBorder="1" applyAlignment="1">
      <alignment vertical="center"/>
    </xf>
    <xf numFmtId="164" fontId="4" fillId="0" borderId="10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64" fontId="4" fillId="0" borderId="10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02" xfId="0" applyFont="1" applyFill="1" applyBorder="1" applyAlignment="1">
      <alignment horizontal="left" vertical="center"/>
    </xf>
    <xf numFmtId="0" fontId="6" fillId="36" borderId="106" xfId="0" applyFont="1" applyFill="1" applyBorder="1" applyAlignment="1">
      <alignment horizontal="left" vertical="center"/>
    </xf>
    <xf numFmtId="0" fontId="6" fillId="34" borderId="102" xfId="0" applyFont="1" applyFill="1" applyBorder="1" applyAlignment="1">
      <alignment vertical="center"/>
    </xf>
    <xf numFmtId="0" fontId="6" fillId="33" borderId="102" xfId="0" applyFont="1" applyFill="1" applyBorder="1" applyAlignment="1">
      <alignment vertical="center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38" xfId="0" applyFont="1" applyBorder="1" applyAlignment="1">
      <alignment horizontal="left"/>
    </xf>
    <xf numFmtId="0" fontId="28" fillId="0" borderId="38" xfId="0" applyFont="1" applyBorder="1" applyAlignment="1">
      <alignment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4" fillId="0" borderId="13" xfId="0" applyNumberFormat="1" applyFont="1" applyFill="1" applyBorder="1" applyAlignment="1">
      <alignment horizontal="left" vertical="center"/>
    </xf>
    <xf numFmtId="3" fontId="8" fillId="0" borderId="107" xfId="0" applyNumberFormat="1" applyFont="1" applyFill="1" applyBorder="1" applyAlignment="1">
      <alignment horizontal="center" vertical="center"/>
    </xf>
    <xf numFmtId="3" fontId="8" fillId="0" borderId="108" xfId="0" applyNumberFormat="1" applyFont="1" applyFill="1" applyBorder="1" applyAlignment="1">
      <alignment horizontal="center" vertical="center"/>
    </xf>
    <xf numFmtId="3" fontId="8" fillId="0" borderId="109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1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left" vertical="center"/>
    </xf>
    <xf numFmtId="3" fontId="3" fillId="0" borderId="107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3" fillId="0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horizontal="left" vertical="center"/>
    </xf>
    <xf numFmtId="3" fontId="3" fillId="0" borderId="116" xfId="0" applyNumberFormat="1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117" xfId="0" applyNumberFormat="1" applyFont="1" applyFill="1" applyBorder="1" applyAlignment="1">
      <alignment vertical="center"/>
    </xf>
    <xf numFmtId="3" fontId="3" fillId="0" borderId="1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left" vertical="center"/>
    </xf>
    <xf numFmtId="3" fontId="3" fillId="0" borderId="1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 wrapText="1"/>
    </xf>
    <xf numFmtId="0" fontId="6" fillId="0" borderId="122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3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8" fillId="34" borderId="12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46" xfId="0" applyFont="1" applyBorder="1" applyAlignment="1">
      <alignment vertical="center"/>
    </xf>
    <xf numFmtId="0" fontId="8" fillId="34" borderId="4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7" borderId="5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124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12" borderId="38" xfId="0" applyFont="1" applyFill="1" applyBorder="1" applyAlignment="1">
      <alignment/>
    </xf>
    <xf numFmtId="0" fontId="8" fillId="12" borderId="38" xfId="0" applyFont="1" applyFill="1" applyBorder="1" applyAlignment="1">
      <alignment horizontal="center" vertical="top" wrapText="1"/>
    </xf>
    <xf numFmtId="3" fontId="8" fillId="12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 vertical="center"/>
    </xf>
    <xf numFmtId="0" fontId="8" fillId="33" borderId="38" xfId="0" applyFont="1" applyFill="1" applyBorder="1" applyAlignment="1">
      <alignment/>
    </xf>
    <xf numFmtId="164" fontId="16" fillId="0" borderId="38" xfId="0" applyNumberFormat="1" applyFont="1" applyFill="1" applyBorder="1" applyAlignment="1">
      <alignment vertical="center"/>
    </xf>
    <xf numFmtId="0" fontId="16" fillId="0" borderId="38" xfId="0" applyFont="1" applyBorder="1" applyAlignment="1">
      <alignment/>
    </xf>
    <xf numFmtId="0" fontId="2" fillId="0" borderId="0" xfId="0" applyFont="1" applyAlignment="1">
      <alignment horizontal="right"/>
    </xf>
    <xf numFmtId="164" fontId="9" fillId="0" borderId="0" xfId="0" applyNumberFormat="1" applyFont="1" applyAlignment="1">
      <alignment vertical="center"/>
    </xf>
    <xf numFmtId="0" fontId="9" fillId="0" borderId="3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36" xfId="0" applyFont="1" applyBorder="1" applyAlignment="1">
      <alignment/>
    </xf>
    <xf numFmtId="0" fontId="22" fillId="0" borderId="38" xfId="70" applyFont="1" applyBorder="1" applyAlignment="1">
      <alignment/>
      <protection/>
    </xf>
    <xf numFmtId="0" fontId="9" fillId="0" borderId="38" xfId="0" applyFont="1" applyBorder="1" applyAlignment="1">
      <alignment/>
    </xf>
    <xf numFmtId="0" fontId="21" fillId="0" borderId="38" xfId="7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164" fontId="3" fillId="0" borderId="0" xfId="0" applyNumberFormat="1" applyFont="1" applyAlignment="1">
      <alignment vertical="center"/>
    </xf>
    <xf numFmtId="1" fontId="6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38" xfId="0" applyFont="1" applyBorder="1" applyAlignment="1">
      <alignment horizontal="right" vertical="center"/>
    </xf>
    <xf numFmtId="164" fontId="16" fillId="0" borderId="38" xfId="0" applyNumberFormat="1" applyFont="1" applyBorder="1" applyAlignment="1">
      <alignment vertical="center" wrapText="1"/>
    </xf>
    <xf numFmtId="0" fontId="7" fillId="0" borderId="83" xfId="0" applyFont="1" applyBorder="1" applyAlignment="1">
      <alignment vertical="center"/>
    </xf>
    <xf numFmtId="0" fontId="7" fillId="0" borderId="102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164" fontId="22" fillId="0" borderId="37" xfId="70" applyNumberFormat="1" applyFont="1" applyFill="1" applyBorder="1" applyAlignment="1">
      <alignment horizontal="right"/>
      <protection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3" fontId="3" fillId="0" borderId="38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/>
    </xf>
    <xf numFmtId="0" fontId="8" fillId="0" borderId="38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60" applyFont="1">
      <alignment/>
      <protection/>
    </xf>
    <xf numFmtId="3" fontId="3" fillId="0" borderId="0" xfId="60" applyNumberFormat="1" applyFont="1">
      <alignment/>
      <protection/>
    </xf>
    <xf numFmtId="0" fontId="55" fillId="0" borderId="0" xfId="0" applyFont="1" applyAlignment="1">
      <alignment/>
    </xf>
    <xf numFmtId="0" fontId="21" fillId="0" borderId="38" xfId="7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36" xfId="70" applyFont="1" applyFill="1" applyBorder="1" applyAlignment="1">
      <alignment horizontal="center" vertical="center"/>
      <protection/>
    </xf>
    <xf numFmtId="0" fontId="21" fillId="0" borderId="75" xfId="70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3" fontId="4" fillId="0" borderId="3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/>
    </xf>
    <xf numFmtId="3" fontId="4" fillId="0" borderId="75" xfId="59" applyNumberFormat="1" applyFont="1" applyBorder="1" applyAlignment="1">
      <alignment horizontal="right" vertical="center"/>
      <protection/>
    </xf>
    <xf numFmtId="0" fontId="4" fillId="0" borderId="36" xfId="0" applyFont="1" applyBorder="1" applyAlignment="1">
      <alignment wrapText="1"/>
    </xf>
    <xf numFmtId="0" fontId="6" fillId="0" borderId="67" xfId="60" applyFont="1" applyBorder="1" applyAlignment="1">
      <alignment horizontal="left" vertical="center"/>
      <protection/>
    </xf>
    <xf numFmtId="0" fontId="55" fillId="0" borderId="0" xfId="60" applyFont="1" applyAlignment="1">
      <alignment horizontal="center"/>
      <protection/>
    </xf>
    <xf numFmtId="3" fontId="4" fillId="0" borderId="0" xfId="0" applyNumberFormat="1" applyFont="1" applyAlignment="1">
      <alignment/>
    </xf>
    <xf numFmtId="0" fontId="4" fillId="0" borderId="69" xfId="0" applyFont="1" applyBorder="1" applyAlignment="1">
      <alignment wrapText="1"/>
    </xf>
    <xf numFmtId="164" fontId="83" fillId="0" borderId="0" xfId="0" applyNumberFormat="1" applyFont="1" applyAlignment="1">
      <alignment vertical="center"/>
    </xf>
    <xf numFmtId="0" fontId="3" fillId="0" borderId="105" xfId="0" applyFont="1" applyFill="1" applyBorder="1" applyAlignment="1">
      <alignment horizontal="left"/>
    </xf>
    <xf numFmtId="0" fontId="8" fillId="0" borderId="105" xfId="0" applyFont="1" applyFill="1" applyBorder="1" applyAlignment="1">
      <alignment horizontal="left"/>
    </xf>
    <xf numFmtId="0" fontId="3" fillId="0" borderId="105" xfId="0" applyFont="1" applyFill="1" applyBorder="1" applyAlignment="1">
      <alignment vertical="center"/>
    </xf>
    <xf numFmtId="0" fontId="3" fillId="0" borderId="105" xfId="0" applyFont="1" applyFill="1" applyBorder="1" applyAlignment="1">
      <alignment horizontal="left"/>
    </xf>
    <xf numFmtId="0" fontId="23" fillId="0" borderId="125" xfId="0" applyFont="1" applyBorder="1" applyAlignment="1">
      <alignment vertical="center"/>
    </xf>
    <xf numFmtId="0" fontId="8" fillId="0" borderId="104" xfId="0" applyFont="1" applyFill="1" applyBorder="1" applyAlignment="1">
      <alignment horizontal="left"/>
    </xf>
    <xf numFmtId="0" fontId="3" fillId="0" borderId="102" xfId="0" applyFont="1" applyBorder="1" applyAlignment="1">
      <alignment/>
    </xf>
    <xf numFmtId="0" fontId="3" fillId="0" borderId="125" xfId="0" applyFont="1" applyBorder="1" applyAlignment="1">
      <alignment/>
    </xf>
    <xf numFmtId="0" fontId="3" fillId="0" borderId="126" xfId="0" applyFont="1" applyBorder="1" applyAlignment="1">
      <alignment/>
    </xf>
    <xf numFmtId="0" fontId="8" fillId="0" borderId="102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center" vertical="center" wrapText="1"/>
    </xf>
    <xf numFmtId="0" fontId="22" fillId="0" borderId="37" xfId="70" applyFont="1" applyFill="1" applyBorder="1" applyAlignment="1">
      <alignment/>
      <protection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0" fontId="22" fillId="0" borderId="37" xfId="70" applyFont="1" applyBorder="1" applyAlignment="1">
      <alignment vertical="center" wrapText="1"/>
      <protection/>
    </xf>
    <xf numFmtId="0" fontId="22" fillId="0" borderId="94" xfId="70" applyFont="1" applyBorder="1" applyAlignment="1">
      <alignment vertical="center" wrapText="1"/>
      <protection/>
    </xf>
    <xf numFmtId="0" fontId="9" fillId="0" borderId="38" xfId="0" applyFont="1" applyFill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127" xfId="70" applyFont="1" applyFill="1" applyBorder="1" applyAlignment="1">
      <alignment/>
      <protection/>
    </xf>
    <xf numFmtId="0" fontId="9" fillId="0" borderId="128" xfId="0" applyFont="1" applyFill="1" applyBorder="1" applyAlignment="1">
      <alignment/>
    </xf>
    <xf numFmtId="0" fontId="22" fillId="0" borderId="38" xfId="70" applyFont="1" applyFill="1" applyBorder="1" applyAlignment="1">
      <alignment/>
      <protection/>
    </xf>
    <xf numFmtId="0" fontId="22" fillId="0" borderId="79" xfId="70" applyFont="1" applyFill="1" applyBorder="1" applyAlignment="1">
      <alignment/>
      <protection/>
    </xf>
    <xf numFmtId="0" fontId="22" fillId="0" borderId="60" xfId="70" applyFont="1" applyFill="1" applyBorder="1" applyAlignment="1">
      <alignment/>
      <protection/>
    </xf>
    <xf numFmtId="0" fontId="21" fillId="0" borderId="37" xfId="70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22" fillId="0" borderId="46" xfId="70" applyFont="1" applyBorder="1">
      <alignment/>
      <protection/>
    </xf>
    <xf numFmtId="0" fontId="22" fillId="0" borderId="129" xfId="70" applyFont="1" applyBorder="1">
      <alignment/>
      <protection/>
    </xf>
    <xf numFmtId="0" fontId="23" fillId="0" borderId="38" xfId="0" applyFont="1" applyBorder="1" applyAlignment="1">
      <alignment vertical="center"/>
    </xf>
    <xf numFmtId="164" fontId="23" fillId="0" borderId="38" xfId="0" applyNumberFormat="1" applyFont="1" applyBorder="1" applyAlignment="1">
      <alignment vertical="center"/>
    </xf>
    <xf numFmtId="164" fontId="23" fillId="0" borderId="38" xfId="0" applyNumberFormat="1" applyFont="1" applyBorder="1" applyAlignment="1">
      <alignment vertical="center"/>
    </xf>
    <xf numFmtId="0" fontId="10" fillId="0" borderId="38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2" fillId="0" borderId="29" xfId="70" applyFont="1" applyFill="1" applyBorder="1">
      <alignment/>
      <protection/>
    </xf>
    <xf numFmtId="0" fontId="8" fillId="0" borderId="38" xfId="0" applyFont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vertical="center"/>
    </xf>
    <xf numFmtId="3" fontId="4" fillId="0" borderId="75" xfId="59" applyNumberFormat="1" applyFont="1" applyBorder="1" applyAlignment="1">
      <alignment horizontal="right" vertical="center"/>
      <protection/>
    </xf>
    <xf numFmtId="3" fontId="4" fillId="0" borderId="36" xfId="60" applyNumberFormat="1" applyFont="1" applyFill="1" applyBorder="1" applyAlignment="1">
      <alignment horizontal="right" vertical="center"/>
      <protection/>
    </xf>
    <xf numFmtId="3" fontId="4" fillId="0" borderId="38" xfId="60" applyNumberFormat="1" applyFont="1" applyFill="1" applyBorder="1" applyAlignment="1">
      <alignment horizontal="right" vertical="center"/>
      <protection/>
    </xf>
    <xf numFmtId="3" fontId="4" fillId="0" borderId="36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/>
      <protection/>
    </xf>
    <xf numFmtId="3" fontId="4" fillId="0" borderId="38" xfId="56" applyNumberFormat="1" applyFont="1" applyFill="1" applyBorder="1" applyAlignment="1">
      <alignment horizontal="right" vertical="center" wrapText="1"/>
      <protection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84" fillId="0" borderId="36" xfId="56" applyNumberFormat="1" applyFont="1" applyFill="1" applyBorder="1" applyAlignment="1">
      <alignment horizontal="right" vertical="center" wrapText="1"/>
      <protection/>
    </xf>
    <xf numFmtId="3" fontId="84" fillId="0" borderId="38" xfId="56" applyNumberFormat="1" applyFont="1" applyFill="1" applyBorder="1" applyAlignment="1">
      <alignment horizontal="right" vertical="center" wrapText="1"/>
      <protection/>
    </xf>
    <xf numFmtId="3" fontId="4" fillId="0" borderId="36" xfId="59" applyNumberFormat="1" applyFont="1" applyFill="1" applyBorder="1" applyAlignment="1">
      <alignment horizontal="right" vertical="center" wrapText="1"/>
      <protection/>
    </xf>
    <xf numFmtId="3" fontId="4" fillId="0" borderId="38" xfId="59" applyNumberFormat="1" applyFont="1" applyFill="1" applyBorder="1" applyAlignment="1">
      <alignment horizontal="right" vertical="center" wrapText="1"/>
      <protection/>
    </xf>
    <xf numFmtId="3" fontId="4" fillId="0" borderId="38" xfId="60" applyNumberFormat="1" applyFont="1" applyFill="1" applyBorder="1" applyAlignment="1">
      <alignment horizontal="right" vertical="center"/>
      <protection/>
    </xf>
    <xf numFmtId="3" fontId="4" fillId="0" borderId="38" xfId="59" applyNumberFormat="1" applyFont="1" applyFill="1" applyBorder="1" applyAlignment="1">
      <alignment horizontal="right" vertical="center"/>
      <protection/>
    </xf>
    <xf numFmtId="3" fontId="4" fillId="0" borderId="40" xfId="59" applyNumberFormat="1" applyFont="1" applyFill="1" applyBorder="1" applyAlignment="1">
      <alignment horizontal="right" vertical="center" wrapText="1"/>
      <protection/>
    </xf>
    <xf numFmtId="3" fontId="4" fillId="0" borderId="40" xfId="56" applyNumberFormat="1" applyFont="1" applyFill="1" applyBorder="1" applyAlignment="1">
      <alignment horizontal="right" vertical="center" wrapText="1"/>
      <protection/>
    </xf>
    <xf numFmtId="3" fontId="4" fillId="0" borderId="36" xfId="56" applyNumberFormat="1" applyFont="1" applyFill="1" applyBorder="1" applyAlignment="1">
      <alignment horizontal="right" vertical="center" wrapText="1"/>
      <protection/>
    </xf>
    <xf numFmtId="164" fontId="4" fillId="0" borderId="0" xfId="62" applyNumberFormat="1" applyFont="1">
      <alignment/>
      <protection/>
    </xf>
    <xf numFmtId="164" fontId="6" fillId="0" borderId="0" xfId="62" applyNumberFormat="1" applyFont="1">
      <alignment/>
      <protection/>
    </xf>
    <xf numFmtId="164" fontId="9" fillId="0" borderId="0" xfId="0" applyNumberFormat="1" applyFont="1" applyFill="1" applyAlignment="1">
      <alignment/>
    </xf>
    <xf numFmtId="0" fontId="22" fillId="0" borderId="128" xfId="70" applyFont="1" applyFill="1" applyBorder="1" applyAlignment="1">
      <alignment/>
      <protection/>
    </xf>
    <xf numFmtId="3" fontId="4" fillId="0" borderId="40" xfId="60" applyNumberFormat="1" applyFont="1" applyBorder="1" applyAlignment="1">
      <alignment horizontal="right" vertical="center"/>
      <protection/>
    </xf>
    <xf numFmtId="3" fontId="6" fillId="0" borderId="47" xfId="60" applyNumberFormat="1" applyFont="1" applyBorder="1" applyAlignment="1">
      <alignment horizontal="right" vertical="center"/>
      <protection/>
    </xf>
    <xf numFmtId="3" fontId="6" fillId="0" borderId="48" xfId="60" applyNumberFormat="1" applyFont="1" applyBorder="1" applyAlignment="1">
      <alignment horizontal="right" vertical="center"/>
      <protection/>
    </xf>
    <xf numFmtId="3" fontId="6" fillId="36" borderId="29" xfId="62" applyNumberFormat="1" applyFont="1" applyFill="1" applyBorder="1" applyAlignment="1">
      <alignment wrapText="1"/>
      <protection/>
    </xf>
    <xf numFmtId="3" fontId="20" fillId="0" borderId="29" xfId="62" applyNumberFormat="1" applyFont="1" applyBorder="1" applyAlignment="1">
      <alignment wrapText="1"/>
      <protection/>
    </xf>
    <xf numFmtId="3" fontId="6" fillId="0" borderId="29" xfId="62" applyNumberFormat="1" applyFont="1" applyBorder="1" applyAlignment="1">
      <alignment wrapText="1"/>
      <protection/>
    </xf>
    <xf numFmtId="3" fontId="4" fillId="0" borderId="29" xfId="62" applyNumberFormat="1" applyFont="1" applyBorder="1" applyAlignment="1">
      <alignment wrapText="1"/>
      <protection/>
    </xf>
    <xf numFmtId="164" fontId="23" fillId="0" borderId="36" xfId="0" applyNumberFormat="1" applyFont="1" applyBorder="1" applyAlignment="1">
      <alignment vertical="center"/>
    </xf>
    <xf numFmtId="3" fontId="6" fillId="38" borderId="130" xfId="62" applyNumberFormat="1" applyFont="1" applyFill="1" applyBorder="1" applyAlignment="1">
      <alignment wrapText="1"/>
      <protection/>
    </xf>
    <xf numFmtId="0" fontId="6" fillId="0" borderId="105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7" fillId="0" borderId="84" xfId="0" applyFont="1" applyBorder="1" applyAlignment="1">
      <alignment vertical="center"/>
    </xf>
    <xf numFmtId="0" fontId="4" fillId="0" borderId="10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3" fillId="0" borderId="84" xfId="0" applyFont="1" applyBorder="1" applyAlignment="1">
      <alignment vertical="center"/>
    </xf>
    <xf numFmtId="0" fontId="6" fillId="0" borderId="122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84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6" fillId="0" borderId="104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Border="1" applyAlignment="1">
      <alignment vertical="center"/>
    </xf>
    <xf numFmtId="0" fontId="4" fillId="0" borderId="104" xfId="0" applyFont="1" applyBorder="1" applyAlignment="1">
      <alignment horizontal="left" vertical="center"/>
    </xf>
    <xf numFmtId="0" fontId="4" fillId="0" borderId="132" xfId="0" applyFont="1" applyBorder="1" applyAlignment="1">
      <alignment horizontal="left" vertical="center"/>
    </xf>
    <xf numFmtId="0" fontId="7" fillId="0" borderId="133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22" fillId="0" borderId="105" xfId="70" applyFont="1" applyBorder="1">
      <alignment/>
      <protection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8" fillId="0" borderId="81" xfId="0" applyFont="1" applyBorder="1" applyAlignment="1">
      <alignment horizontal="center" vertical="center" wrapText="1"/>
    </xf>
    <xf numFmtId="164" fontId="22" fillId="0" borderId="60" xfId="70" applyNumberFormat="1" applyFont="1" applyFill="1" applyBorder="1">
      <alignment/>
      <protection/>
    </xf>
    <xf numFmtId="164" fontId="7" fillId="0" borderId="0" xfId="0" applyNumberFormat="1" applyFont="1" applyBorder="1" applyAlignment="1">
      <alignment vertical="center"/>
    </xf>
    <xf numFmtId="0" fontId="3" fillId="0" borderId="103" xfId="0" applyFont="1" applyFill="1" applyBorder="1" applyAlignment="1">
      <alignment horizontal="left"/>
    </xf>
    <xf numFmtId="0" fontId="8" fillId="0" borderId="1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164" fontId="22" fillId="0" borderId="38" xfId="0" applyNumberFormat="1" applyFont="1" applyBorder="1" applyAlignment="1">
      <alignment vertical="center" wrapText="1"/>
    </xf>
    <xf numFmtId="0" fontId="3" fillId="0" borderId="38" xfId="0" applyFont="1" applyBorder="1" applyAlignment="1">
      <alignment wrapText="1"/>
    </xf>
    <xf numFmtId="49" fontId="8" fillId="34" borderId="38" xfId="0" applyNumberFormat="1" applyFont="1" applyFill="1" applyBorder="1" applyAlignment="1">
      <alignment/>
    </xf>
    <xf numFmtId="16" fontId="3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49" fontId="8" fillId="12" borderId="38" xfId="0" applyNumberFormat="1" applyFont="1" applyFill="1" applyBorder="1" applyAlignment="1">
      <alignment/>
    </xf>
    <xf numFmtId="49" fontId="8" fillId="0" borderId="38" xfId="0" applyNumberFormat="1" applyFont="1" applyBorder="1" applyAlignment="1">
      <alignment/>
    </xf>
    <xf numFmtId="0" fontId="8" fillId="0" borderId="38" xfId="0" applyFont="1" applyBorder="1" applyAlignment="1">
      <alignment horizontal="center" vertical="top" wrapText="1"/>
    </xf>
    <xf numFmtId="0" fontId="8" fillId="39" borderId="38" xfId="0" applyFont="1" applyFill="1" applyBorder="1" applyAlignment="1">
      <alignment/>
    </xf>
    <xf numFmtId="0" fontId="30" fillId="0" borderId="38" xfId="0" applyFont="1" applyBorder="1" applyAlignment="1">
      <alignment/>
    </xf>
    <xf numFmtId="3" fontId="3" fillId="0" borderId="135" xfId="0" applyNumberFormat="1" applyFont="1" applyFill="1" applyBorder="1" applyAlignment="1">
      <alignment horizontal="right" vertical="center" wrapText="1"/>
    </xf>
    <xf numFmtId="3" fontId="3" fillId="0" borderId="1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right" vertical="center" wrapText="1"/>
    </xf>
    <xf numFmtId="3" fontId="3" fillId="0" borderId="137" xfId="0" applyNumberFormat="1" applyFont="1" applyFill="1" applyBorder="1" applyAlignment="1">
      <alignment vertical="center"/>
    </xf>
    <xf numFmtId="3" fontId="3" fillId="0" borderId="138" xfId="0" applyNumberFormat="1" applyFont="1" applyFill="1" applyBorder="1" applyAlignment="1">
      <alignment vertical="center"/>
    </xf>
    <xf numFmtId="3" fontId="3" fillId="0" borderId="139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/>
    </xf>
    <xf numFmtId="0" fontId="3" fillId="0" borderId="69" xfId="0" applyFont="1" applyFill="1" applyBorder="1" applyAlignment="1">
      <alignment wrapText="1"/>
    </xf>
    <xf numFmtId="0" fontId="16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164" fontId="13" fillId="0" borderId="3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3" fillId="0" borderId="76" xfId="0" applyNumberFormat="1" applyFont="1" applyBorder="1" applyAlignment="1">
      <alignment vertical="center"/>
    </xf>
    <xf numFmtId="164" fontId="16" fillId="0" borderId="38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4" fillId="0" borderId="115" xfId="0" applyFont="1" applyBorder="1" applyAlignment="1">
      <alignment horizontal="center" vertical="center"/>
    </xf>
    <xf numFmtId="0" fontId="6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6" fillId="0" borderId="141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3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132" xfId="0" applyFont="1" applyBorder="1" applyAlignment="1">
      <alignment vertical="center"/>
    </xf>
    <xf numFmtId="0" fontId="6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" fontId="4" fillId="0" borderId="146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 vertical="center"/>
    </xf>
    <xf numFmtId="3" fontId="6" fillId="0" borderId="148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149" xfId="0" applyNumberFormat="1" applyFont="1" applyBorder="1" applyAlignment="1">
      <alignment vertical="center"/>
    </xf>
    <xf numFmtId="3" fontId="4" fillId="0" borderId="150" xfId="0" applyNumberFormat="1" applyFont="1" applyBorder="1" applyAlignment="1">
      <alignment vertical="center"/>
    </xf>
    <xf numFmtId="3" fontId="8" fillId="34" borderId="151" xfId="0" applyNumberFormat="1" applyFont="1" applyFill="1" applyBorder="1" applyAlignment="1">
      <alignment vertical="center"/>
    </xf>
    <xf numFmtId="3" fontId="8" fillId="37" borderId="152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3" xfId="0" applyNumberFormat="1" applyFont="1" applyBorder="1" applyAlignment="1">
      <alignment vertical="center"/>
    </xf>
    <xf numFmtId="3" fontId="4" fillId="0" borderId="135" xfId="0" applyNumberFormat="1" applyFont="1" applyBorder="1" applyAlignment="1">
      <alignment vertical="center"/>
    </xf>
    <xf numFmtId="3" fontId="4" fillId="0" borderId="15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2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39" xfId="0" applyNumberFormat="1" applyFont="1" applyFill="1" applyBorder="1" applyAlignment="1">
      <alignment vertical="center"/>
    </xf>
    <xf numFmtId="3" fontId="4" fillId="0" borderId="139" xfId="0" applyNumberFormat="1" applyFont="1" applyBorder="1" applyAlignment="1">
      <alignment vertical="center"/>
    </xf>
    <xf numFmtId="3" fontId="4" fillId="0" borderId="155" xfId="0" applyNumberFormat="1" applyFont="1" applyBorder="1" applyAlignment="1">
      <alignment vertical="center"/>
    </xf>
    <xf numFmtId="3" fontId="4" fillId="0" borderId="156" xfId="0" applyNumberFormat="1" applyFont="1" applyBorder="1" applyAlignment="1">
      <alignment vertical="center"/>
    </xf>
    <xf numFmtId="3" fontId="4" fillId="0" borderId="113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6" fillId="0" borderId="15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116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4" fillId="0" borderId="158" xfId="0" applyNumberFormat="1" applyFont="1" applyBorder="1" applyAlignment="1">
      <alignment vertical="center"/>
    </xf>
    <xf numFmtId="3" fontId="4" fillId="0" borderId="159" xfId="0" applyNumberFormat="1" applyFont="1" applyBorder="1" applyAlignment="1">
      <alignment vertical="center"/>
    </xf>
    <xf numFmtId="3" fontId="4" fillId="0" borderId="160" xfId="0" applyNumberFormat="1" applyFont="1" applyBorder="1" applyAlignment="1">
      <alignment vertical="center"/>
    </xf>
    <xf numFmtId="3" fontId="4" fillId="0" borderId="110" xfId="0" applyNumberFormat="1" applyFont="1" applyBorder="1" applyAlignment="1">
      <alignment vertical="center"/>
    </xf>
    <xf numFmtId="3" fontId="4" fillId="0" borderId="138" xfId="0" applyNumberFormat="1" applyFont="1" applyBorder="1" applyAlignment="1">
      <alignment vertical="center"/>
    </xf>
    <xf numFmtId="3" fontId="4" fillId="0" borderId="161" xfId="0" applyNumberFormat="1" applyFont="1" applyBorder="1" applyAlignment="1">
      <alignment vertical="center"/>
    </xf>
    <xf numFmtId="3" fontId="4" fillId="0" borderId="162" xfId="0" applyNumberFormat="1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3" fontId="4" fillId="0" borderId="163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139" xfId="0" applyNumberFormat="1" applyFont="1" applyBorder="1" applyAlignment="1">
      <alignment vertical="center"/>
    </xf>
    <xf numFmtId="3" fontId="6" fillId="0" borderId="112" xfId="0" applyNumberFormat="1" applyFont="1" applyBorder="1" applyAlignment="1">
      <alignment vertical="center"/>
    </xf>
    <xf numFmtId="3" fontId="6" fillId="0" borderId="164" xfId="0" applyNumberFormat="1" applyFont="1" applyBorder="1" applyAlignment="1">
      <alignment vertical="center"/>
    </xf>
    <xf numFmtId="3" fontId="6" fillId="0" borderId="165" xfId="0" applyNumberFormat="1" applyFont="1" applyBorder="1" applyAlignment="1">
      <alignment vertical="center"/>
    </xf>
    <xf numFmtId="3" fontId="8" fillId="34" borderId="166" xfId="0" applyNumberFormat="1" applyFont="1" applyFill="1" applyBorder="1" applyAlignment="1">
      <alignment vertical="center"/>
    </xf>
    <xf numFmtId="3" fontId="8" fillId="34" borderId="167" xfId="0" applyNumberFormat="1" applyFont="1" applyFill="1" applyBorder="1" applyAlignment="1">
      <alignment vertical="center"/>
    </xf>
    <xf numFmtId="3" fontId="8" fillId="34" borderId="16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6" fillId="0" borderId="169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170" xfId="0" applyNumberFormat="1" applyFont="1" applyBorder="1" applyAlignment="1">
      <alignment vertical="center"/>
    </xf>
    <xf numFmtId="3" fontId="6" fillId="0" borderId="171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8" fillId="34" borderId="172" xfId="0" applyNumberFormat="1" applyFont="1" applyFill="1" applyBorder="1" applyAlignment="1">
      <alignment vertical="center"/>
    </xf>
    <xf numFmtId="3" fontId="8" fillId="34" borderId="173" xfId="0" applyNumberFormat="1" applyFont="1" applyFill="1" applyBorder="1" applyAlignment="1">
      <alignment vertical="center"/>
    </xf>
    <xf numFmtId="3" fontId="8" fillId="34" borderId="65" xfId="0" applyNumberFormat="1" applyFont="1" applyFill="1" applyBorder="1" applyAlignment="1">
      <alignment vertical="center"/>
    </xf>
    <xf numFmtId="3" fontId="8" fillId="37" borderId="169" xfId="0" applyNumberFormat="1" applyFont="1" applyFill="1" applyBorder="1" applyAlignment="1">
      <alignment vertical="center"/>
    </xf>
    <xf numFmtId="3" fontId="8" fillId="37" borderId="74" xfId="0" applyNumberFormat="1" applyFont="1" applyFill="1" applyBorder="1" applyAlignment="1">
      <alignment vertical="center"/>
    </xf>
    <xf numFmtId="3" fontId="8" fillId="37" borderId="5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118" xfId="0" applyNumberFormat="1" applyFont="1" applyBorder="1" applyAlignment="1">
      <alignment vertical="center"/>
    </xf>
    <xf numFmtId="3" fontId="3" fillId="0" borderId="174" xfId="0" applyNumberFormat="1" applyFont="1" applyBorder="1" applyAlignment="1">
      <alignment vertical="center"/>
    </xf>
    <xf numFmtId="3" fontId="3" fillId="0" borderId="175" xfId="0" applyNumberFormat="1" applyFont="1" applyBorder="1" applyAlignment="1">
      <alignment vertical="center"/>
    </xf>
    <xf numFmtId="3" fontId="8" fillId="0" borderId="175" xfId="0" applyNumberFormat="1" applyFont="1" applyBorder="1" applyAlignment="1">
      <alignment vertical="center"/>
    </xf>
    <xf numFmtId="3" fontId="8" fillId="36" borderId="176" xfId="0" applyNumberFormat="1" applyFont="1" applyFill="1" applyBorder="1" applyAlignment="1">
      <alignment vertical="center"/>
    </xf>
    <xf numFmtId="3" fontId="8" fillId="0" borderId="174" xfId="0" applyNumberFormat="1" applyFont="1" applyBorder="1" applyAlignment="1">
      <alignment vertical="center"/>
    </xf>
    <xf numFmtId="3" fontId="3" fillId="0" borderId="118" xfId="0" applyNumberFormat="1" applyFont="1" applyBorder="1" applyAlignment="1">
      <alignment vertical="center"/>
    </xf>
    <xf numFmtId="3" fontId="3" fillId="34" borderId="52" xfId="0" applyNumberFormat="1" applyFont="1" applyFill="1" applyBorder="1" applyAlignment="1">
      <alignment vertical="center"/>
    </xf>
    <xf numFmtId="3" fontId="8" fillId="33" borderId="52" xfId="0" applyNumberFormat="1" applyFont="1" applyFill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3" fillId="0" borderId="177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3" fillId="0" borderId="160" xfId="0" applyNumberFormat="1" applyFont="1" applyFill="1" applyBorder="1" applyAlignment="1">
      <alignment vertical="center"/>
    </xf>
    <xf numFmtId="3" fontId="3" fillId="0" borderId="178" xfId="0" applyNumberFormat="1" applyFont="1" applyBorder="1" applyAlignment="1">
      <alignment vertical="center"/>
    </xf>
    <xf numFmtId="3" fontId="3" fillId="0" borderId="179" xfId="0" applyNumberFormat="1" applyFont="1" applyBorder="1" applyAlignment="1">
      <alignment vertical="center"/>
    </xf>
    <xf numFmtId="3" fontId="3" fillId="0" borderId="162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vertical="center"/>
    </xf>
    <xf numFmtId="3" fontId="3" fillId="0" borderId="180" xfId="0" applyNumberFormat="1" applyFont="1" applyBorder="1" applyAlignment="1">
      <alignment vertical="center"/>
    </xf>
    <xf numFmtId="3" fontId="3" fillId="0" borderId="180" xfId="0" applyNumberFormat="1" applyFont="1" applyFill="1" applyBorder="1" applyAlignment="1">
      <alignment vertical="center"/>
    </xf>
    <xf numFmtId="3" fontId="3" fillId="0" borderId="181" xfId="0" applyNumberFormat="1" applyFont="1" applyBorder="1" applyAlignment="1">
      <alignment vertical="center"/>
    </xf>
    <xf numFmtId="3" fontId="3" fillId="0" borderId="182" xfId="0" applyNumberFormat="1" applyFont="1" applyBorder="1" applyAlignment="1">
      <alignment vertical="center"/>
    </xf>
    <xf numFmtId="3" fontId="3" fillId="0" borderId="156" xfId="0" applyNumberFormat="1" applyFont="1" applyBorder="1" applyAlignment="1">
      <alignment vertical="center"/>
    </xf>
    <xf numFmtId="3" fontId="3" fillId="0" borderId="183" xfId="0" applyNumberFormat="1" applyFont="1" applyFill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184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185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3" fillId="0" borderId="183" xfId="0" applyNumberFormat="1" applyFont="1" applyBorder="1" applyAlignment="1">
      <alignment vertical="center"/>
    </xf>
    <xf numFmtId="3" fontId="8" fillId="34" borderId="49" xfId="0" applyNumberFormat="1" applyFont="1" applyFill="1" applyBorder="1" applyAlignment="1">
      <alignment vertical="center"/>
    </xf>
    <xf numFmtId="3" fontId="8" fillId="34" borderId="47" xfId="0" applyNumberFormat="1" applyFont="1" applyFill="1" applyBorder="1" applyAlignment="1">
      <alignment vertical="center"/>
    </xf>
    <xf numFmtId="3" fontId="8" fillId="34" borderId="48" xfId="0" applyNumberFormat="1" applyFont="1" applyFill="1" applyBorder="1" applyAlignment="1">
      <alignment vertical="center"/>
    </xf>
    <xf numFmtId="3" fontId="8" fillId="33" borderId="49" xfId="0" applyNumberFormat="1" applyFont="1" applyFill="1" applyBorder="1" applyAlignment="1">
      <alignment vertical="center"/>
    </xf>
    <xf numFmtId="3" fontId="8" fillId="33" borderId="47" xfId="0" applyNumberFormat="1" applyFont="1" applyFill="1" applyBorder="1" applyAlignment="1">
      <alignment vertical="center"/>
    </xf>
    <xf numFmtId="3" fontId="8" fillId="33" borderId="48" xfId="0" applyNumberFormat="1" applyFont="1" applyFill="1" applyBorder="1" applyAlignment="1">
      <alignment vertical="center"/>
    </xf>
    <xf numFmtId="3" fontId="3" fillId="0" borderId="144" xfId="0" applyNumberFormat="1" applyFont="1" applyFill="1" applyBorder="1" applyAlignment="1">
      <alignment horizontal="left"/>
    </xf>
    <xf numFmtId="3" fontId="3" fillId="0" borderId="8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23" fillId="0" borderId="38" xfId="0" applyNumberFormat="1" applyFont="1" applyBorder="1" applyAlignment="1">
      <alignment vertical="center"/>
    </xf>
    <xf numFmtId="3" fontId="8" fillId="0" borderId="132" xfId="0" applyNumberFormat="1" applyFont="1" applyFill="1" applyBorder="1" applyAlignment="1">
      <alignment/>
    </xf>
    <xf numFmtId="3" fontId="8" fillId="0" borderId="133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3" fillId="0" borderId="186" xfId="0" applyNumberFormat="1" applyFont="1" applyFill="1" applyBorder="1" applyAlignment="1">
      <alignment/>
    </xf>
    <xf numFmtId="3" fontId="3" fillId="0" borderId="143" xfId="0" applyNumberFormat="1" applyFont="1" applyBorder="1" applyAlignment="1">
      <alignment/>
    </xf>
    <xf numFmtId="3" fontId="3" fillId="0" borderId="187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23" fillId="0" borderId="36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/>
    </xf>
    <xf numFmtId="3" fontId="3" fillId="0" borderId="177" xfId="0" applyNumberFormat="1" applyFont="1" applyFill="1" applyBorder="1" applyAlignment="1">
      <alignment/>
    </xf>
    <xf numFmtId="3" fontId="3" fillId="0" borderId="179" xfId="0" applyNumberFormat="1" applyFont="1" applyFill="1" applyBorder="1" applyAlignment="1">
      <alignment/>
    </xf>
    <xf numFmtId="3" fontId="8" fillId="0" borderId="179" xfId="0" applyNumberFormat="1" applyFont="1" applyFill="1" applyBorder="1" applyAlignment="1">
      <alignment/>
    </xf>
    <xf numFmtId="3" fontId="3" fillId="0" borderId="179" xfId="0" applyNumberFormat="1" applyFont="1" applyFill="1" applyBorder="1" applyAlignment="1">
      <alignment/>
    </xf>
    <xf numFmtId="3" fontId="8" fillId="0" borderId="181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0" fontId="8" fillId="0" borderId="67" xfId="0" applyFont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82" fillId="0" borderId="38" xfId="0" applyNumberFormat="1" applyFont="1" applyFill="1" applyBorder="1" applyAlignment="1">
      <alignment vertical="center"/>
    </xf>
    <xf numFmtId="3" fontId="82" fillId="0" borderId="38" xfId="0" applyNumberFormat="1" applyFont="1" applyBorder="1" applyAlignment="1">
      <alignment vertical="center"/>
    </xf>
    <xf numFmtId="3" fontId="23" fillId="0" borderId="38" xfId="0" applyNumberFormat="1" applyFont="1" applyFill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0" borderId="188" xfId="0" applyNumberFormat="1" applyFont="1" applyFill="1" applyBorder="1" applyAlignment="1">
      <alignment vertical="center"/>
    </xf>
    <xf numFmtId="3" fontId="12" fillId="0" borderId="108" xfId="0" applyNumberFormat="1" applyFont="1" applyFill="1" applyBorder="1" applyAlignment="1">
      <alignment vertical="center"/>
    </xf>
    <xf numFmtId="3" fontId="8" fillId="0" borderId="189" xfId="0" applyNumberFormat="1" applyFont="1" applyFill="1" applyBorder="1" applyAlignment="1">
      <alignment vertical="center"/>
    </xf>
    <xf numFmtId="3" fontId="11" fillId="0" borderId="135" xfId="0" applyNumberFormat="1" applyFont="1" applyFill="1" applyBorder="1" applyAlignment="1">
      <alignment vertical="center"/>
    </xf>
    <xf numFmtId="3" fontId="3" fillId="0" borderId="154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164" xfId="0" applyNumberFormat="1" applyFont="1" applyFill="1" applyBorder="1" applyAlignment="1">
      <alignment vertical="center"/>
    </xf>
    <xf numFmtId="3" fontId="3" fillId="0" borderId="165" xfId="0" applyNumberFormat="1" applyFont="1" applyFill="1" applyBorder="1" applyAlignment="1">
      <alignment vertical="center"/>
    </xf>
    <xf numFmtId="3" fontId="3" fillId="0" borderId="19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3" fontId="3" fillId="0" borderId="79" xfId="0" applyNumberFormat="1" applyFont="1" applyFill="1" applyBorder="1" applyAlignment="1">
      <alignment vertical="center"/>
    </xf>
    <xf numFmtId="3" fontId="11" fillId="0" borderId="108" xfId="0" applyNumberFormat="1" applyFont="1" applyFill="1" applyBorder="1" applyAlignment="1">
      <alignment vertical="center"/>
    </xf>
    <xf numFmtId="3" fontId="11" fillId="0" borderId="18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190" xfId="0" applyNumberFormat="1" applyFont="1" applyBorder="1" applyAlignment="1">
      <alignment vertical="center"/>
    </xf>
    <xf numFmtId="3" fontId="8" fillId="0" borderId="191" xfId="0" applyNumberFormat="1" applyFont="1" applyBorder="1" applyAlignment="1">
      <alignment vertical="center"/>
    </xf>
    <xf numFmtId="164" fontId="23" fillId="0" borderId="36" xfId="0" applyNumberFormat="1" applyFont="1" applyBorder="1" applyAlignment="1">
      <alignment vertical="center" wrapText="1"/>
    </xf>
    <xf numFmtId="3" fontId="6" fillId="36" borderId="26" xfId="62" applyNumberFormat="1" applyFont="1" applyFill="1" applyBorder="1" applyAlignment="1">
      <alignment wrapText="1"/>
      <protection/>
    </xf>
    <xf numFmtId="3" fontId="6" fillId="0" borderId="57" xfId="62" applyNumberFormat="1" applyFont="1" applyBorder="1" applyAlignment="1">
      <alignment horizontal="center" wrapText="1"/>
      <protection/>
    </xf>
    <xf numFmtId="3" fontId="6" fillId="0" borderId="192" xfId="62" applyNumberFormat="1" applyFont="1" applyBorder="1" applyAlignment="1">
      <alignment horizontal="center"/>
      <protection/>
    </xf>
    <xf numFmtId="3" fontId="6" fillId="0" borderId="50" xfId="62" applyNumberFormat="1" applyFont="1" applyBorder="1" applyAlignment="1">
      <alignment horizontal="center"/>
      <protection/>
    </xf>
    <xf numFmtId="3" fontId="21" fillId="0" borderId="37" xfId="70" applyNumberFormat="1" applyFont="1" applyBorder="1">
      <alignment/>
      <protection/>
    </xf>
    <xf numFmtId="3" fontId="22" fillId="0" borderId="37" xfId="70" applyNumberFormat="1" applyFont="1" applyFill="1" applyBorder="1" applyAlignment="1">
      <alignment horizontal="right"/>
      <protection/>
    </xf>
    <xf numFmtId="3" fontId="22" fillId="0" borderId="37" xfId="70" applyNumberFormat="1" applyFont="1" applyBorder="1" applyAlignment="1">
      <alignment horizontal="right"/>
      <protection/>
    </xf>
    <xf numFmtId="3" fontId="22" fillId="0" borderId="86" xfId="70" applyNumberFormat="1" applyFont="1" applyBorder="1">
      <alignment/>
      <protection/>
    </xf>
    <xf numFmtId="3" fontId="22" fillId="0" borderId="84" xfId="70" applyNumberFormat="1" applyFont="1" applyBorder="1">
      <alignment/>
      <protection/>
    </xf>
    <xf numFmtId="3" fontId="21" fillId="0" borderId="72" xfId="70" applyNumberFormat="1" applyFont="1" applyBorder="1">
      <alignment/>
      <protection/>
    </xf>
    <xf numFmtId="3" fontId="22" fillId="0" borderId="72" xfId="70" applyNumberFormat="1" applyFont="1" applyFill="1" applyBorder="1" applyAlignment="1">
      <alignment horizontal="right"/>
      <protection/>
    </xf>
    <xf numFmtId="3" fontId="22" fillId="0" borderId="72" xfId="70" applyNumberFormat="1" applyFont="1" applyBorder="1" applyAlignment="1">
      <alignment horizontal="right"/>
      <protection/>
    </xf>
    <xf numFmtId="3" fontId="22" fillId="0" borderId="193" xfId="70" applyNumberFormat="1" applyFont="1" applyBorder="1">
      <alignment/>
      <protection/>
    </xf>
    <xf numFmtId="3" fontId="22" fillId="0" borderId="133" xfId="70" applyNumberFormat="1" applyFont="1" applyBorder="1">
      <alignment/>
      <protection/>
    </xf>
    <xf numFmtId="3" fontId="21" fillId="0" borderId="74" xfId="70" applyNumberFormat="1" applyFont="1" applyBorder="1">
      <alignment/>
      <protection/>
    </xf>
    <xf numFmtId="3" fontId="21" fillId="0" borderId="58" xfId="70" applyNumberFormat="1" applyFont="1" applyBorder="1">
      <alignment/>
      <protection/>
    </xf>
    <xf numFmtId="3" fontId="21" fillId="0" borderId="60" xfId="70" applyNumberFormat="1" applyFont="1" applyBorder="1">
      <alignment/>
      <protection/>
    </xf>
    <xf numFmtId="3" fontId="22" fillId="0" borderId="60" xfId="70" applyNumberFormat="1" applyFont="1" applyBorder="1" applyAlignment="1">
      <alignment horizontal="right"/>
      <protection/>
    </xf>
    <xf numFmtId="3" fontId="22" fillId="0" borderId="194" xfId="70" applyNumberFormat="1" applyFont="1" applyBorder="1">
      <alignment/>
      <protection/>
    </xf>
    <xf numFmtId="3" fontId="22" fillId="0" borderId="83" xfId="70" applyNumberFormat="1" applyFont="1" applyBorder="1">
      <alignment/>
      <protection/>
    </xf>
    <xf numFmtId="3" fontId="21" fillId="0" borderId="37" xfId="70" applyNumberFormat="1" applyFont="1" applyBorder="1" applyAlignment="1">
      <alignment/>
      <protection/>
    </xf>
    <xf numFmtId="3" fontId="21" fillId="0" borderId="72" xfId="70" applyNumberFormat="1" applyFont="1" applyBorder="1" applyAlignment="1">
      <alignment/>
      <protection/>
    </xf>
    <xf numFmtId="3" fontId="9" fillId="0" borderId="38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21" fillId="0" borderId="195" xfId="70" applyNumberFormat="1" applyFont="1" applyBorder="1" applyAlignment="1">
      <alignment/>
      <protection/>
    </xf>
    <xf numFmtId="3" fontId="21" fillId="0" borderId="89" xfId="70" applyNumberFormat="1" applyFont="1" applyBorder="1" applyAlignment="1">
      <alignment/>
      <protection/>
    </xf>
    <xf numFmtId="3" fontId="21" fillId="0" borderId="81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0" fillId="0" borderId="3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8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38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28" fillId="0" borderId="38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22" fillId="0" borderId="60" xfId="70" applyNumberFormat="1" applyFont="1" applyBorder="1">
      <alignment/>
      <protection/>
    </xf>
    <xf numFmtId="3" fontId="22" fillId="0" borderId="85" xfId="70" applyNumberFormat="1" applyFont="1" applyBorder="1">
      <alignment/>
      <protection/>
    </xf>
    <xf numFmtId="3" fontId="22" fillId="0" borderId="37" xfId="70" applyNumberFormat="1" applyFont="1" applyBorder="1">
      <alignment/>
      <protection/>
    </xf>
    <xf numFmtId="3" fontId="21" fillId="0" borderId="86" xfId="70" applyNumberFormat="1" applyFont="1" applyBorder="1">
      <alignment/>
      <protection/>
    </xf>
    <xf numFmtId="3" fontId="21" fillId="0" borderId="84" xfId="70" applyNumberFormat="1" applyFont="1" applyBorder="1">
      <alignment/>
      <protection/>
    </xf>
    <xf numFmtId="3" fontId="21" fillId="0" borderId="86" xfId="70" applyNumberFormat="1" applyFont="1" applyBorder="1" applyAlignment="1">
      <alignment/>
      <protection/>
    </xf>
    <xf numFmtId="3" fontId="21" fillId="0" borderId="84" xfId="70" applyNumberFormat="1" applyFont="1" applyBorder="1" applyAlignment="1">
      <alignment/>
      <protection/>
    </xf>
    <xf numFmtId="3" fontId="21" fillId="0" borderId="196" xfId="70" applyNumberFormat="1" applyFont="1" applyBorder="1" applyAlignment="1">
      <alignment/>
      <protection/>
    </xf>
    <xf numFmtId="3" fontId="21" fillId="0" borderId="197" xfId="70" applyNumberFormat="1" applyFont="1" applyBorder="1" applyAlignment="1">
      <alignment/>
      <protection/>
    </xf>
    <xf numFmtId="3" fontId="21" fillId="0" borderId="198" xfId="70" applyNumberFormat="1" applyFont="1" applyBorder="1" applyAlignment="1">
      <alignment/>
      <protection/>
    </xf>
    <xf numFmtId="3" fontId="21" fillId="0" borderId="199" xfId="70" applyNumberFormat="1" applyFont="1" applyBorder="1">
      <alignment/>
      <protection/>
    </xf>
    <xf numFmtId="3" fontId="21" fillId="0" borderId="200" xfId="70" applyNumberFormat="1" applyFont="1" applyBorder="1">
      <alignment/>
      <protection/>
    </xf>
    <xf numFmtId="3" fontId="22" fillId="0" borderId="199" xfId="70" applyNumberFormat="1" applyFont="1" applyBorder="1">
      <alignment/>
      <protection/>
    </xf>
    <xf numFmtId="3" fontId="22" fillId="0" borderId="201" xfId="70" applyNumberFormat="1" applyFont="1" applyBorder="1">
      <alignment/>
      <protection/>
    </xf>
    <xf numFmtId="3" fontId="22" fillId="0" borderId="200" xfId="70" applyNumberFormat="1" applyFont="1" applyBorder="1">
      <alignment/>
      <protection/>
    </xf>
    <xf numFmtId="3" fontId="22" fillId="0" borderId="202" xfId="70" applyNumberFormat="1" applyFont="1" applyBorder="1">
      <alignment/>
      <protection/>
    </xf>
    <xf numFmtId="3" fontId="22" fillId="0" borderId="203" xfId="70" applyNumberFormat="1" applyFont="1" applyBorder="1">
      <alignment/>
      <protection/>
    </xf>
    <xf numFmtId="3" fontId="22" fillId="0" borderId="204" xfId="70" applyNumberFormat="1" applyFont="1" applyBorder="1">
      <alignment/>
      <protection/>
    </xf>
    <xf numFmtId="3" fontId="22" fillId="0" borderId="179" xfId="70" applyNumberFormat="1" applyFont="1" applyBorder="1" applyAlignment="1">
      <alignment horizontal="right"/>
      <protection/>
    </xf>
    <xf numFmtId="3" fontId="22" fillId="0" borderId="139" xfId="70" applyNumberFormat="1" applyFont="1" applyBorder="1" applyAlignment="1">
      <alignment horizontal="right"/>
      <protection/>
    </xf>
    <xf numFmtId="3" fontId="22" fillId="0" borderId="112" xfId="70" applyNumberFormat="1" applyFont="1" applyBorder="1" applyAlignment="1">
      <alignment horizontal="right"/>
      <protection/>
    </xf>
    <xf numFmtId="3" fontId="22" fillId="0" borderId="94" xfId="70" applyNumberFormat="1" applyFont="1" applyBorder="1" applyAlignment="1">
      <alignment horizontal="right"/>
      <protection/>
    </xf>
    <xf numFmtId="3" fontId="22" fillId="0" borderId="29" xfId="70" applyNumberFormat="1" applyFont="1" applyBorder="1" applyAlignment="1">
      <alignment horizontal="right"/>
      <protection/>
    </xf>
    <xf numFmtId="3" fontId="22" fillId="0" borderId="179" xfId="70" applyNumberFormat="1" applyFont="1" applyBorder="1">
      <alignment/>
      <protection/>
    </xf>
    <xf numFmtId="3" fontId="22" fillId="0" borderId="139" xfId="70" applyNumberFormat="1" applyFont="1" applyBorder="1">
      <alignment/>
      <protection/>
    </xf>
    <xf numFmtId="3" fontId="22" fillId="0" borderId="112" xfId="70" applyNumberFormat="1" applyFont="1" applyBorder="1">
      <alignment/>
      <protection/>
    </xf>
    <xf numFmtId="3" fontId="22" fillId="0" borderId="94" xfId="70" applyNumberFormat="1" applyFont="1" applyBorder="1">
      <alignment/>
      <protection/>
    </xf>
    <xf numFmtId="3" fontId="22" fillId="0" borderId="29" xfId="70" applyNumberFormat="1" applyFont="1" applyBorder="1">
      <alignment/>
      <protection/>
    </xf>
    <xf numFmtId="3" fontId="22" fillId="0" borderId="181" xfId="70" applyNumberFormat="1" applyFont="1" applyBorder="1" applyAlignment="1">
      <alignment horizontal="right"/>
      <protection/>
    </xf>
    <xf numFmtId="3" fontId="22" fillId="0" borderId="73" xfId="70" applyNumberFormat="1" applyFont="1" applyBorder="1" applyAlignment="1">
      <alignment horizontal="right"/>
      <protection/>
    </xf>
    <xf numFmtId="3" fontId="22" fillId="0" borderId="113" xfId="70" applyNumberFormat="1" applyFont="1" applyBorder="1" applyAlignment="1">
      <alignment horizontal="right"/>
      <protection/>
    </xf>
    <xf numFmtId="3" fontId="22" fillId="0" borderId="95" xfId="70" applyNumberFormat="1" applyFont="1" applyBorder="1" applyAlignment="1">
      <alignment horizontal="right"/>
      <protection/>
    </xf>
    <xf numFmtId="3" fontId="22" fillId="0" borderId="27" xfId="70" applyNumberFormat="1" applyFont="1" applyBorder="1" applyAlignment="1">
      <alignment horizontal="right"/>
      <protection/>
    </xf>
    <xf numFmtId="3" fontId="21" fillId="0" borderId="57" xfId="70" applyNumberFormat="1" applyFont="1" applyBorder="1">
      <alignment/>
      <protection/>
    </xf>
    <xf numFmtId="3" fontId="21" fillId="0" borderId="52" xfId="70" applyNumberFormat="1" applyFont="1" applyBorder="1">
      <alignment/>
      <protection/>
    </xf>
    <xf numFmtId="3" fontId="21" fillId="0" borderId="67" xfId="70" applyNumberFormat="1" applyFont="1" applyBorder="1">
      <alignment/>
      <protection/>
    </xf>
    <xf numFmtId="3" fontId="21" fillId="0" borderId="117" xfId="70" applyNumberFormat="1" applyFont="1" applyBorder="1">
      <alignment/>
      <protection/>
    </xf>
    <xf numFmtId="3" fontId="21" fillId="0" borderId="192" xfId="70" applyNumberFormat="1" applyFont="1" applyBorder="1">
      <alignment/>
      <protection/>
    </xf>
    <xf numFmtId="3" fontId="21" fillId="0" borderId="50" xfId="70" applyNumberFormat="1" applyFont="1" applyBorder="1">
      <alignment/>
      <protection/>
    </xf>
    <xf numFmtId="3" fontId="22" fillId="0" borderId="71" xfId="70" applyNumberFormat="1" applyFont="1" applyBorder="1" applyAlignment="1">
      <alignment horizontal="right"/>
      <protection/>
    </xf>
    <xf numFmtId="3" fontId="22" fillId="0" borderId="205" xfId="70" applyNumberFormat="1" applyFont="1" applyBorder="1" applyAlignment="1">
      <alignment horizontal="right"/>
      <protection/>
    </xf>
    <xf numFmtId="3" fontId="22" fillId="0" borderId="79" xfId="70" applyNumberFormat="1" applyFont="1" applyBorder="1" applyAlignment="1">
      <alignment horizontal="right"/>
      <protection/>
    </xf>
    <xf numFmtId="3" fontId="22" fillId="0" borderId="188" xfId="70" applyNumberFormat="1" applyFont="1" applyBorder="1" applyAlignment="1">
      <alignment horizontal="right"/>
      <protection/>
    </xf>
    <xf numFmtId="3" fontId="22" fillId="0" borderId="96" xfId="70" applyNumberFormat="1" applyFont="1" applyBorder="1" applyAlignment="1">
      <alignment horizontal="right"/>
      <protection/>
    </xf>
    <xf numFmtId="3" fontId="22" fillId="0" borderId="78" xfId="70" applyNumberFormat="1" applyFont="1" applyBorder="1" applyAlignment="1">
      <alignment horizontal="right"/>
      <protection/>
    </xf>
    <xf numFmtId="3" fontId="22" fillId="0" borderId="206" xfId="70" applyNumberFormat="1" applyFont="1" applyBorder="1">
      <alignment/>
      <protection/>
    </xf>
    <xf numFmtId="3" fontId="22" fillId="0" borderId="65" xfId="70" applyNumberFormat="1" applyFont="1" applyBorder="1">
      <alignment/>
      <protection/>
    </xf>
    <xf numFmtId="3" fontId="21" fillId="0" borderId="57" xfId="70" applyNumberFormat="1" applyFont="1" applyBorder="1" applyAlignment="1">
      <alignment/>
      <protection/>
    </xf>
    <xf numFmtId="3" fontId="21" fillId="0" borderId="78" xfId="70" applyNumberFormat="1" applyFont="1" applyBorder="1" applyAlignment="1">
      <alignment/>
      <protection/>
    </xf>
    <xf numFmtId="3" fontId="21" fillId="0" borderId="188" xfId="70" applyNumberFormat="1" applyFont="1" applyBorder="1" applyAlignment="1">
      <alignment/>
      <protection/>
    </xf>
    <xf numFmtId="3" fontId="21" fillId="0" borderId="71" xfId="70" applyNumberFormat="1" applyFont="1" applyBorder="1" applyAlignment="1">
      <alignment/>
      <protection/>
    </xf>
    <xf numFmtId="3" fontId="21" fillId="0" borderId="205" xfId="70" applyNumberFormat="1" applyFont="1" applyBorder="1" applyAlignment="1">
      <alignment/>
      <protection/>
    </xf>
    <xf numFmtId="3" fontId="21" fillId="0" borderId="79" xfId="70" applyNumberFormat="1" applyFont="1" applyBorder="1" applyAlignment="1">
      <alignment/>
      <protection/>
    </xf>
    <xf numFmtId="3" fontId="21" fillId="0" borderId="96" xfId="70" applyNumberFormat="1" applyFont="1" applyBorder="1" applyAlignment="1">
      <alignment/>
      <protection/>
    </xf>
    <xf numFmtId="3" fontId="21" fillId="0" borderId="206" xfId="70" applyNumberFormat="1" applyFont="1" applyBorder="1" applyAlignment="1">
      <alignment/>
      <protection/>
    </xf>
    <xf numFmtId="3" fontId="21" fillId="0" borderId="65" xfId="70" applyNumberFormat="1" applyFont="1" applyBorder="1" applyAlignment="1">
      <alignment/>
      <protection/>
    </xf>
    <xf numFmtId="3" fontId="21" fillId="0" borderId="74" xfId="70" applyNumberFormat="1" applyFont="1" applyBorder="1" applyAlignment="1">
      <alignment/>
      <protection/>
    </xf>
    <xf numFmtId="3" fontId="21" fillId="0" borderId="117" xfId="70" applyNumberFormat="1" applyFont="1" applyBorder="1" applyAlignment="1">
      <alignment/>
      <protection/>
    </xf>
    <xf numFmtId="3" fontId="21" fillId="0" borderId="192" xfId="70" applyNumberFormat="1" applyFont="1" applyBorder="1" applyAlignment="1">
      <alignment/>
      <protection/>
    </xf>
    <xf numFmtId="3" fontId="21" fillId="0" borderId="50" xfId="70" applyNumberFormat="1" applyFont="1" applyBorder="1" applyAlignment="1">
      <alignment/>
      <protection/>
    </xf>
    <xf numFmtId="3" fontId="21" fillId="0" borderId="58" xfId="70" applyNumberFormat="1" applyFont="1" applyBorder="1" applyAlignment="1">
      <alignment/>
      <protection/>
    </xf>
    <xf numFmtId="3" fontId="21" fillId="0" borderId="67" xfId="70" applyNumberFormat="1" applyFont="1" applyBorder="1" applyAlignment="1">
      <alignment/>
      <protection/>
    </xf>
    <xf numFmtId="3" fontId="21" fillId="0" borderId="116" xfId="70" applyNumberFormat="1" applyFont="1" applyBorder="1" applyAlignment="1">
      <alignment/>
      <protection/>
    </xf>
    <xf numFmtId="3" fontId="21" fillId="0" borderId="49" xfId="70" applyNumberFormat="1" applyFont="1" applyBorder="1">
      <alignment/>
      <protection/>
    </xf>
    <xf numFmtId="3" fontId="21" fillId="0" borderId="112" xfId="70" applyNumberFormat="1" applyFont="1" applyBorder="1">
      <alignment/>
      <protection/>
    </xf>
    <xf numFmtId="3" fontId="21" fillId="0" borderId="207" xfId="70" applyNumberFormat="1" applyFont="1" applyBorder="1">
      <alignment/>
      <protection/>
    </xf>
    <xf numFmtId="3" fontId="21" fillId="0" borderId="81" xfId="70" applyNumberFormat="1" applyFont="1" applyBorder="1">
      <alignment/>
      <protection/>
    </xf>
    <xf numFmtId="3" fontId="21" fillId="0" borderId="65" xfId="70" applyNumberFormat="1" applyFont="1" applyBorder="1">
      <alignment/>
      <protection/>
    </xf>
    <xf numFmtId="3" fontId="21" fillId="0" borderId="179" xfId="70" applyNumberFormat="1" applyFont="1" applyBorder="1">
      <alignment/>
      <protection/>
    </xf>
    <xf numFmtId="3" fontId="21" fillId="0" borderId="208" xfId="70" applyNumberFormat="1" applyFont="1" applyBorder="1">
      <alignment/>
      <protection/>
    </xf>
    <xf numFmtId="3" fontId="21" fillId="0" borderId="92" xfId="70" applyNumberFormat="1" applyFont="1" applyBorder="1">
      <alignment/>
      <protection/>
    </xf>
    <xf numFmtId="3" fontId="21" fillId="0" borderId="71" xfId="70" applyNumberFormat="1" applyFont="1" applyBorder="1">
      <alignment/>
      <protection/>
    </xf>
    <xf numFmtId="3" fontId="21" fillId="0" borderId="92" xfId="70" applyNumberFormat="1" applyFont="1" applyBorder="1" applyAlignment="1">
      <alignment/>
      <protection/>
    </xf>
    <xf numFmtId="3" fontId="21" fillId="0" borderId="52" xfId="70" applyNumberFormat="1" applyFont="1" applyBorder="1" applyAlignment="1">
      <alignment/>
      <protection/>
    </xf>
    <xf numFmtId="3" fontId="22" fillId="0" borderId="206" xfId="70" applyNumberFormat="1" applyFont="1" applyBorder="1" applyAlignment="1">
      <alignment horizontal="right"/>
      <protection/>
    </xf>
    <xf numFmtId="3" fontId="21" fillId="0" borderId="79" xfId="70" applyNumberFormat="1" applyFont="1" applyBorder="1">
      <alignment/>
      <protection/>
    </xf>
    <xf numFmtId="3" fontId="24" fillId="0" borderId="0" xfId="0" applyNumberFormat="1" applyFont="1" applyFill="1" applyAlignment="1">
      <alignment/>
    </xf>
    <xf numFmtId="3" fontId="9" fillId="0" borderId="37" xfId="70" applyNumberFormat="1" applyFont="1" applyFill="1" applyBorder="1" applyAlignment="1">
      <alignment horizontal="right"/>
      <protection/>
    </xf>
    <xf numFmtId="3" fontId="21" fillId="0" borderId="37" xfId="70" applyNumberFormat="1" applyFont="1" applyFill="1" applyBorder="1">
      <alignment/>
      <protection/>
    </xf>
    <xf numFmtId="3" fontId="22" fillId="0" borderId="86" xfId="70" applyNumberFormat="1" applyFont="1" applyFill="1" applyBorder="1">
      <alignment/>
      <protection/>
    </xf>
    <xf numFmtId="3" fontId="22" fillId="0" borderId="84" xfId="70" applyNumberFormat="1" applyFont="1" applyFill="1" applyBorder="1">
      <alignment/>
      <protection/>
    </xf>
    <xf numFmtId="3" fontId="17" fillId="0" borderId="60" xfId="0" applyNumberFormat="1" applyFont="1" applyBorder="1" applyAlignment="1">
      <alignment horizontal="right" vertical="center" wrapText="1"/>
    </xf>
    <xf numFmtId="3" fontId="17" fillId="0" borderId="138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17" fillId="0" borderId="139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6" fillId="0" borderId="139" xfId="0" applyNumberFormat="1" applyFont="1" applyBorder="1" applyAlignment="1">
      <alignment horizontal="right" vertical="center" wrapText="1"/>
    </xf>
    <xf numFmtId="3" fontId="17" fillId="0" borderId="72" xfId="0" applyNumberFormat="1" applyFont="1" applyBorder="1" applyAlignment="1">
      <alignment horizontal="right" vertical="center" wrapText="1"/>
    </xf>
    <xf numFmtId="3" fontId="17" fillId="0" borderId="73" xfId="0" applyNumberFormat="1" applyFont="1" applyBorder="1" applyAlignment="1">
      <alignment horizontal="right" vertical="center" wrapText="1"/>
    </xf>
    <xf numFmtId="3" fontId="17" fillId="0" borderId="74" xfId="0" applyNumberFormat="1" applyFont="1" applyBorder="1" applyAlignment="1">
      <alignment horizontal="right" vertical="center" wrapText="1"/>
    </xf>
    <xf numFmtId="3" fontId="17" fillId="0" borderId="58" xfId="0" applyNumberFormat="1" applyFont="1" applyBorder="1" applyAlignment="1">
      <alignment horizontal="right" vertical="center" wrapText="1"/>
    </xf>
    <xf numFmtId="3" fontId="17" fillId="0" borderId="195" xfId="0" applyNumberFormat="1" applyFont="1" applyBorder="1" applyAlignment="1">
      <alignment/>
    </xf>
    <xf numFmtId="3" fontId="17" fillId="0" borderId="209" xfId="0" applyNumberFormat="1" applyFont="1" applyBorder="1" applyAlignment="1">
      <alignment/>
    </xf>
    <xf numFmtId="3" fontId="4" fillId="0" borderId="210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211" xfId="0" applyNumberFormat="1" applyFont="1" applyFill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212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/>
    </xf>
    <xf numFmtId="3" fontId="6" fillId="0" borderId="5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71" xfId="0" applyNumberFormat="1" applyFont="1" applyBorder="1" applyAlignment="1">
      <alignment vertical="center"/>
    </xf>
    <xf numFmtId="3" fontId="4" fillId="0" borderId="213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/>
    </xf>
    <xf numFmtId="3" fontId="4" fillId="0" borderId="214" xfId="0" applyNumberFormat="1" applyFont="1" applyBorder="1" applyAlignment="1">
      <alignment vertical="center"/>
    </xf>
    <xf numFmtId="3" fontId="4" fillId="0" borderId="134" xfId="0" applyNumberFormat="1" applyFont="1" applyBorder="1" applyAlignment="1">
      <alignment vertical="center"/>
    </xf>
    <xf numFmtId="3" fontId="4" fillId="0" borderId="21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211" xfId="0" applyNumberFormat="1" applyFont="1" applyFill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6" fillId="0" borderId="212" xfId="0" applyNumberFormat="1" applyFont="1" applyBorder="1" applyAlignment="1">
      <alignment vertical="center"/>
    </xf>
    <xf numFmtId="3" fontId="6" fillId="0" borderId="211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216" xfId="0" applyNumberFormat="1" applyFont="1" applyBorder="1" applyAlignment="1">
      <alignment vertical="center"/>
    </xf>
    <xf numFmtId="3" fontId="4" fillId="0" borderId="217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218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4" fillId="0" borderId="219" xfId="0" applyNumberFormat="1" applyFont="1" applyBorder="1" applyAlignment="1">
      <alignment vertical="center"/>
    </xf>
    <xf numFmtId="3" fontId="4" fillId="0" borderId="21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211" xfId="0" applyNumberFormat="1" applyFont="1" applyBorder="1" applyAlignment="1">
      <alignment vertical="center"/>
    </xf>
    <xf numFmtId="3" fontId="4" fillId="0" borderId="214" xfId="0" applyNumberFormat="1" applyFont="1" applyBorder="1" applyAlignment="1">
      <alignment vertical="center"/>
    </xf>
    <xf numFmtId="3" fontId="4" fillId="0" borderId="143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218" xfId="0" applyNumberFormat="1" applyFont="1" applyBorder="1" applyAlignment="1">
      <alignment vertical="center"/>
    </xf>
    <xf numFmtId="3" fontId="4" fillId="0" borderId="220" xfId="0" applyNumberFormat="1" applyFont="1" applyBorder="1" applyAlignment="1">
      <alignment vertical="center"/>
    </xf>
    <xf numFmtId="3" fontId="4" fillId="0" borderId="187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4" fillId="0" borderId="21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1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4" fillId="0" borderId="221" xfId="0" applyNumberFormat="1" applyFont="1" applyBorder="1" applyAlignment="1">
      <alignment vertical="center"/>
    </xf>
    <xf numFmtId="3" fontId="6" fillId="0" borderId="184" xfId="0" applyNumberFormat="1" applyFont="1" applyBorder="1" applyAlignment="1">
      <alignment vertical="center"/>
    </xf>
    <xf numFmtId="3" fontId="6" fillId="0" borderId="184" xfId="0" applyNumberFormat="1" applyFont="1" applyFill="1" applyBorder="1" applyAlignment="1">
      <alignment vertical="center"/>
    </xf>
    <xf numFmtId="3" fontId="6" fillId="0" borderId="128" xfId="0" applyNumberFormat="1" applyFont="1" applyBorder="1" applyAlignment="1">
      <alignment vertical="center"/>
    </xf>
    <xf numFmtId="3" fontId="6" fillId="0" borderId="185" xfId="0" applyNumberFormat="1" applyFont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4" fillId="0" borderId="219" xfId="0" applyNumberFormat="1" applyFont="1" applyBorder="1" applyAlignment="1">
      <alignment vertical="center"/>
    </xf>
    <xf numFmtId="3" fontId="4" fillId="0" borderId="212" xfId="0" applyNumberFormat="1" applyFont="1" applyBorder="1" applyAlignment="1">
      <alignment vertical="center"/>
    </xf>
    <xf numFmtId="3" fontId="4" fillId="0" borderId="184" xfId="0" applyNumberFormat="1" applyFont="1" applyBorder="1" applyAlignment="1">
      <alignment vertical="center"/>
    </xf>
    <xf numFmtId="3" fontId="4" fillId="0" borderId="128" xfId="0" applyNumberFormat="1" applyFont="1" applyBorder="1" applyAlignment="1">
      <alignment vertical="center"/>
    </xf>
    <xf numFmtId="3" fontId="4" fillId="0" borderId="185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211" xfId="0" applyNumberFormat="1" applyFont="1" applyBorder="1" applyAlignment="1">
      <alignment vertical="center"/>
    </xf>
    <xf numFmtId="3" fontId="7" fillId="0" borderId="219" xfId="0" applyNumberFormat="1" applyFont="1" applyBorder="1" applyAlignment="1">
      <alignment vertical="center"/>
    </xf>
    <xf numFmtId="3" fontId="7" fillId="0" borderId="215" xfId="0" applyNumberFormat="1" applyFont="1" applyBorder="1" applyAlignment="1">
      <alignment vertical="center"/>
    </xf>
    <xf numFmtId="3" fontId="4" fillId="0" borderId="185" xfId="0" applyNumberFormat="1" applyFont="1" applyFill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222" xfId="0" applyNumberFormat="1" applyFont="1" applyBorder="1" applyAlignment="1">
      <alignment vertical="center"/>
    </xf>
    <xf numFmtId="3" fontId="4" fillId="0" borderId="223" xfId="0" applyNumberFormat="1" applyFont="1" applyBorder="1" applyAlignment="1">
      <alignment vertical="center"/>
    </xf>
    <xf numFmtId="3" fontId="6" fillId="0" borderId="185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12" fillId="0" borderId="224" xfId="0" applyNumberFormat="1" applyFont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112" xfId="0" applyNumberFormat="1" applyFont="1" applyFill="1" applyBorder="1" applyAlignment="1">
      <alignment vertical="center"/>
    </xf>
    <xf numFmtId="3" fontId="3" fillId="0" borderId="113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25" xfId="0" applyNumberFormat="1" applyFont="1" applyFill="1" applyBorder="1" applyAlignment="1">
      <alignment vertical="center"/>
    </xf>
    <xf numFmtId="3" fontId="8" fillId="0" borderId="226" xfId="0" applyNumberFormat="1" applyFont="1" applyFill="1" applyBorder="1" applyAlignment="1">
      <alignment vertical="center"/>
    </xf>
    <xf numFmtId="3" fontId="3" fillId="0" borderId="153" xfId="0" applyNumberFormat="1" applyFont="1" applyFill="1" applyBorder="1" applyAlignment="1">
      <alignment vertical="center"/>
    </xf>
    <xf numFmtId="3" fontId="3" fillId="0" borderId="227" xfId="0" applyNumberFormat="1" applyFont="1" applyFill="1" applyBorder="1" applyAlignment="1">
      <alignment vertical="center"/>
    </xf>
    <xf numFmtId="3" fontId="3" fillId="0" borderId="228" xfId="0" applyNumberFormat="1" applyFont="1" applyFill="1" applyBorder="1" applyAlignment="1">
      <alignment vertical="center"/>
    </xf>
    <xf numFmtId="3" fontId="3" fillId="0" borderId="223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3" fillId="0" borderId="135" xfId="0" applyNumberFormat="1" applyFont="1" applyFill="1" applyBorder="1" applyAlignment="1">
      <alignment vertical="center"/>
    </xf>
    <xf numFmtId="3" fontId="3" fillId="0" borderId="229" xfId="0" applyNumberFormat="1" applyFont="1" applyFill="1" applyBorder="1" applyAlignment="1">
      <alignment vertical="center"/>
    </xf>
    <xf numFmtId="3" fontId="3" fillId="0" borderId="210" xfId="0" applyNumberFormat="1" applyFont="1" applyFill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8" fillId="0" borderId="230" xfId="0" applyNumberFormat="1" applyFont="1" applyFill="1" applyBorder="1" applyAlignment="1">
      <alignment vertical="center"/>
    </xf>
    <xf numFmtId="3" fontId="3" fillId="0" borderId="231" xfId="0" applyNumberFormat="1" applyFont="1" applyFill="1" applyBorder="1" applyAlignment="1">
      <alignment vertical="center"/>
    </xf>
    <xf numFmtId="3" fontId="3" fillId="0" borderId="232" xfId="0" applyNumberFormat="1" applyFont="1" applyFill="1" applyBorder="1" applyAlignment="1">
      <alignment vertical="center"/>
    </xf>
    <xf numFmtId="3" fontId="8" fillId="0" borderId="233" xfId="0" applyNumberFormat="1" applyFont="1" applyFill="1" applyBorder="1" applyAlignment="1">
      <alignment vertical="center"/>
    </xf>
    <xf numFmtId="3" fontId="12" fillId="0" borderId="109" xfId="0" applyNumberFormat="1" applyFont="1" applyFill="1" applyBorder="1" applyAlignment="1">
      <alignment vertical="center"/>
    </xf>
    <xf numFmtId="3" fontId="12" fillId="0" borderId="226" xfId="0" applyNumberFormat="1" applyFont="1" applyFill="1" applyBorder="1" applyAlignment="1">
      <alignment vertical="center"/>
    </xf>
    <xf numFmtId="3" fontId="3" fillId="0" borderId="215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4" fillId="0" borderId="76" xfId="60" applyNumberFormat="1" applyFont="1" applyBorder="1" applyAlignment="1">
      <alignment horizontal="right" vertical="center"/>
      <protection/>
    </xf>
    <xf numFmtId="3" fontId="4" fillId="0" borderId="218" xfId="60" applyNumberFormat="1" applyFont="1" applyBorder="1" applyAlignment="1">
      <alignment horizontal="right" vertical="center"/>
      <protection/>
    </xf>
    <xf numFmtId="3" fontId="4" fillId="0" borderId="69" xfId="59" applyNumberFormat="1" applyFont="1" applyBorder="1" applyAlignment="1">
      <alignment horizontal="right" vertical="center" wrapText="1"/>
      <protection/>
    </xf>
    <xf numFmtId="3" fontId="4" fillId="0" borderId="76" xfId="59" applyNumberFormat="1" applyFont="1" applyBorder="1" applyAlignment="1">
      <alignment horizontal="right" vertical="center" wrapText="1"/>
      <protection/>
    </xf>
    <xf numFmtId="3" fontId="4" fillId="0" borderId="76" xfId="59" applyNumberFormat="1" applyFont="1" applyBorder="1" applyAlignment="1">
      <alignment horizontal="right" vertical="center"/>
      <protection/>
    </xf>
    <xf numFmtId="3" fontId="4" fillId="0" borderId="211" xfId="59" applyNumberFormat="1" applyFont="1" applyBorder="1" applyAlignment="1">
      <alignment horizontal="right" vertical="center"/>
      <protection/>
    </xf>
    <xf numFmtId="3" fontId="6" fillId="0" borderId="67" xfId="60" applyNumberFormat="1" applyFont="1" applyBorder="1" applyAlignment="1">
      <alignment horizontal="right" vertical="center"/>
      <protection/>
    </xf>
    <xf numFmtId="0" fontId="8" fillId="0" borderId="38" xfId="0" applyFont="1" applyBorder="1" applyAlignment="1">
      <alignment horizontal="center" vertical="center" wrapText="1"/>
    </xf>
    <xf numFmtId="3" fontId="85" fillId="0" borderId="38" xfId="0" applyNumberFormat="1" applyFont="1" applyBorder="1" applyAlignment="1">
      <alignment/>
    </xf>
    <xf numFmtId="4" fontId="85" fillId="0" borderId="38" xfId="0" applyNumberFormat="1" applyFont="1" applyBorder="1" applyAlignment="1">
      <alignment/>
    </xf>
    <xf numFmtId="0" fontId="85" fillId="0" borderId="38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5" fillId="34" borderId="38" xfId="0" applyNumberFormat="1" applyFont="1" applyFill="1" applyBorder="1" applyAlignment="1">
      <alignment/>
    </xf>
    <xf numFmtId="0" fontId="85" fillId="34" borderId="38" xfId="0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166" fontId="85" fillId="0" borderId="38" xfId="0" applyNumberFormat="1" applyFont="1" applyBorder="1" applyAlignment="1">
      <alignment/>
    </xf>
    <xf numFmtId="3" fontId="8" fillId="34" borderId="38" xfId="0" applyNumberFormat="1" applyFont="1" applyFill="1" applyBorder="1" applyAlignment="1">
      <alignment/>
    </xf>
    <xf numFmtId="3" fontId="8" fillId="0" borderId="38" xfId="0" applyNumberFormat="1" applyFont="1" applyBorder="1" applyAlignment="1">
      <alignment/>
    </xf>
    <xf numFmtId="3" fontId="8" fillId="12" borderId="38" xfId="0" applyNumberFormat="1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9" borderId="38" xfId="0" applyNumberFormat="1" applyFont="1" applyFill="1" applyBorder="1" applyAlignment="1">
      <alignment/>
    </xf>
    <xf numFmtId="3" fontId="32" fillId="39" borderId="38" xfId="0" applyNumberFormat="1" applyFont="1" applyFill="1" applyBorder="1" applyAlignment="1">
      <alignment/>
    </xf>
    <xf numFmtId="0" fontId="85" fillId="0" borderId="38" xfId="0" applyFont="1" applyFill="1" applyBorder="1" applyAlignment="1">
      <alignment/>
    </xf>
    <xf numFmtId="3" fontId="13" fillId="0" borderId="0" xfId="0" applyNumberFormat="1" applyFont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22" fillId="0" borderId="110" xfId="70" applyFont="1" applyFill="1" applyBorder="1" applyAlignment="1">
      <alignment horizontal="left" vertical="center"/>
      <protection/>
    </xf>
    <xf numFmtId="3" fontId="9" fillId="0" borderId="38" xfId="0" applyNumberFormat="1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vertical="center" wrapText="1"/>
    </xf>
    <xf numFmtId="0" fontId="3" fillId="0" borderId="38" xfId="0" applyFont="1" applyBorder="1" applyAlignment="1">
      <alignment wrapText="1"/>
    </xf>
    <xf numFmtId="3" fontId="4" fillId="0" borderId="21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21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36" borderId="194" xfId="62" applyNumberFormat="1" applyFont="1" applyFill="1" applyBorder="1">
      <alignment/>
      <protection/>
    </xf>
    <xf numFmtId="3" fontId="20" fillId="0" borderId="86" xfId="62" applyNumberFormat="1" applyFont="1" applyBorder="1">
      <alignment/>
      <protection/>
    </xf>
    <xf numFmtId="3" fontId="6" fillId="0" borderId="86" xfId="62" applyNumberFormat="1" applyFont="1" applyBorder="1">
      <alignment/>
      <protection/>
    </xf>
    <xf numFmtId="3" fontId="23" fillId="0" borderId="38" xfId="0" applyNumberFormat="1" applyFont="1" applyBorder="1" applyAlignment="1">
      <alignment vertical="center"/>
    </xf>
    <xf numFmtId="3" fontId="4" fillId="0" borderId="86" xfId="62" applyNumberFormat="1" applyFont="1" applyBorder="1">
      <alignment/>
      <protection/>
    </xf>
    <xf numFmtId="3" fontId="6" fillId="36" borderId="86" xfId="62" applyNumberFormat="1" applyFont="1" applyFill="1" applyBorder="1">
      <alignment/>
      <protection/>
    </xf>
    <xf numFmtId="3" fontId="6" fillId="38" borderId="197" xfId="62" applyNumberFormat="1" applyFont="1" applyFill="1" applyBorder="1">
      <alignment/>
      <protection/>
    </xf>
    <xf numFmtId="3" fontId="3" fillId="0" borderId="234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3" fillId="0" borderId="235" xfId="0" applyFont="1" applyBorder="1" applyAlignment="1">
      <alignment/>
    </xf>
    <xf numFmtId="0" fontId="8" fillId="0" borderId="236" xfId="0" applyFont="1" applyBorder="1" applyAlignment="1">
      <alignment horizontal="center" vertical="center" wrapText="1"/>
    </xf>
    <xf numFmtId="3" fontId="3" fillId="0" borderId="159" xfId="0" applyNumberFormat="1" applyFont="1" applyFill="1" applyBorder="1" applyAlignment="1">
      <alignment/>
    </xf>
    <xf numFmtId="3" fontId="3" fillId="0" borderId="162" xfId="0" applyNumberFormat="1" applyFont="1" applyFill="1" applyBorder="1" applyAlignment="1">
      <alignment/>
    </xf>
    <xf numFmtId="3" fontId="8" fillId="0" borderId="162" xfId="0" applyNumberFormat="1" applyFont="1" applyFill="1" applyBorder="1" applyAlignment="1">
      <alignment/>
    </xf>
    <xf numFmtId="3" fontId="3" fillId="0" borderId="162" xfId="0" applyNumberFormat="1" applyFont="1" applyFill="1" applyBorder="1" applyAlignment="1">
      <alignment/>
    </xf>
    <xf numFmtId="3" fontId="23" fillId="0" borderId="40" xfId="0" applyNumberFormat="1" applyFont="1" applyBorder="1" applyAlignment="1">
      <alignment vertical="center"/>
    </xf>
    <xf numFmtId="3" fontId="31" fillId="0" borderId="40" xfId="0" applyNumberFormat="1" applyFont="1" applyBorder="1" applyAlignment="1">
      <alignment vertical="center"/>
    </xf>
    <xf numFmtId="3" fontId="8" fillId="0" borderId="182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3" fillId="0" borderId="184" xfId="0" applyNumberFormat="1" applyFont="1" applyFill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93" xfId="0" applyNumberFormat="1" applyFont="1" applyBorder="1" applyAlignment="1">
      <alignment/>
    </xf>
    <xf numFmtId="3" fontId="3" fillId="0" borderId="236" xfId="0" applyNumberFormat="1" applyFont="1" applyBorder="1" applyAlignment="1">
      <alignment/>
    </xf>
    <xf numFmtId="3" fontId="23" fillId="0" borderId="143" xfId="0" applyNumberFormat="1" applyFont="1" applyBorder="1" applyAlignment="1">
      <alignment vertical="center"/>
    </xf>
    <xf numFmtId="3" fontId="23" fillId="0" borderId="14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/>
    </xf>
    <xf numFmtId="0" fontId="8" fillId="0" borderId="237" xfId="0" applyFont="1" applyBorder="1" applyAlignment="1">
      <alignment horizontal="center" vertical="center" wrapText="1"/>
    </xf>
    <xf numFmtId="3" fontId="3" fillId="0" borderId="142" xfId="0" applyNumberFormat="1" applyFont="1" applyFill="1" applyBorder="1" applyAlignment="1">
      <alignment/>
    </xf>
    <xf numFmtId="3" fontId="3" fillId="0" borderId="141" xfId="0" applyNumberFormat="1" applyFont="1" applyFill="1" applyBorder="1" applyAlignment="1">
      <alignment/>
    </xf>
    <xf numFmtId="3" fontId="8" fillId="0" borderId="141" xfId="0" applyNumberFormat="1" applyFont="1" applyFill="1" applyBorder="1" applyAlignment="1">
      <alignment/>
    </xf>
    <xf numFmtId="3" fontId="3" fillId="0" borderId="141" xfId="0" applyNumberFormat="1" applyFont="1" applyFill="1" applyBorder="1" applyAlignment="1">
      <alignment/>
    </xf>
    <xf numFmtId="3" fontId="23" fillId="0" borderId="125" xfId="0" applyNumberFormat="1" applyFont="1" applyBorder="1" applyAlignment="1">
      <alignment vertical="center"/>
    </xf>
    <xf numFmtId="3" fontId="8" fillId="0" borderId="114" xfId="0" applyNumberFormat="1" applyFont="1" applyFill="1" applyBorder="1" applyAlignment="1">
      <alignment/>
    </xf>
    <xf numFmtId="3" fontId="8" fillId="0" borderId="17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98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3" fillId="0" borderId="102" xfId="0" applyNumberFormat="1" applyFont="1" applyBorder="1" applyAlignment="1">
      <alignment/>
    </xf>
    <xf numFmtId="3" fontId="3" fillId="0" borderId="238" xfId="0" applyNumberFormat="1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0" fontId="11" fillId="0" borderId="38" xfId="0" applyFont="1" applyBorder="1" applyAlignment="1">
      <alignment horizontal="left" wrapText="1"/>
    </xf>
    <xf numFmtId="4" fontId="3" fillId="0" borderId="38" xfId="0" applyNumberFormat="1" applyFont="1" applyBorder="1" applyAlignment="1">
      <alignment/>
    </xf>
    <xf numFmtId="14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 horizontal="left" wrapText="1"/>
    </xf>
    <xf numFmtId="4" fontId="8" fillId="34" borderId="38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1" fillId="0" borderId="215" xfId="0" applyNumberFormat="1" applyFont="1" applyBorder="1" applyAlignment="1">
      <alignment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38" xfId="0" applyNumberFormat="1" applyFont="1" applyBorder="1" applyAlignment="1">
      <alignment/>
    </xf>
    <xf numFmtId="0" fontId="9" fillId="0" borderId="38" xfId="0" applyFont="1" applyBorder="1" applyAlignment="1">
      <alignment horizontal="left" wrapText="1"/>
    </xf>
    <xf numFmtId="0" fontId="22" fillId="0" borderId="110" xfId="70" applyFont="1" applyFill="1" applyBorder="1" applyAlignment="1">
      <alignment horizontal="left" vertical="center" wrapText="1"/>
      <protection/>
    </xf>
    <xf numFmtId="0" fontId="22" fillId="0" borderId="94" xfId="70" applyFont="1" applyBorder="1" applyAlignment="1">
      <alignment wrapText="1"/>
      <protection/>
    </xf>
    <xf numFmtId="0" fontId="23" fillId="0" borderId="38" xfId="0" applyFont="1" applyFill="1" applyBorder="1" applyAlignment="1">
      <alignment vertical="center"/>
    </xf>
    <xf numFmtId="3" fontId="3" fillId="17" borderId="38" xfId="0" applyNumberFormat="1" applyFont="1" applyFill="1" applyBorder="1" applyAlignment="1">
      <alignment vertical="center"/>
    </xf>
    <xf numFmtId="3" fontId="3" fillId="17" borderId="38" xfId="0" applyNumberFormat="1" applyFont="1" applyFill="1" applyBorder="1" applyAlignment="1">
      <alignment vertical="center"/>
    </xf>
    <xf numFmtId="0" fontId="6" fillId="0" borderId="239" xfId="0" applyFont="1" applyFill="1" applyBorder="1" applyAlignment="1">
      <alignment horizontal="center" vertical="center" wrapText="1"/>
    </xf>
    <xf numFmtId="0" fontId="6" fillId="0" borderId="240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9" fillId="34" borderId="38" xfId="0" applyNumberFormat="1" applyFont="1" applyFill="1" applyBorder="1" applyAlignment="1">
      <alignment horizontal="right"/>
    </xf>
    <xf numFmtId="3" fontId="9" fillId="34" borderId="38" xfId="0" applyNumberFormat="1" applyFont="1" applyFill="1" applyBorder="1" applyAlignment="1">
      <alignment/>
    </xf>
    <xf numFmtId="3" fontId="21" fillId="0" borderId="74" xfId="70" applyNumberFormat="1" applyFont="1" applyFill="1" applyBorder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35" xfId="0" applyFont="1" applyBorder="1" applyAlignment="1">
      <alignment horizontal="center" vertical="center" wrapText="1"/>
    </xf>
    <xf numFmtId="0" fontId="8" fillId="0" borderId="22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0" fontId="8" fillId="0" borderId="241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24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21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23" xfId="0" applyFont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243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244" xfId="0" applyFont="1" applyBorder="1" applyAlignment="1">
      <alignment horizontal="center" vertical="center" wrapText="1"/>
    </xf>
    <xf numFmtId="0" fontId="8" fillId="0" borderId="245" xfId="0" applyFont="1" applyBorder="1" applyAlignment="1">
      <alignment horizontal="center" vertical="center" wrapText="1"/>
    </xf>
    <xf numFmtId="0" fontId="8" fillId="0" borderId="24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47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243" xfId="0" applyNumberFormat="1" applyFont="1" applyBorder="1" applyAlignment="1">
      <alignment horizontal="center" vertical="center"/>
    </xf>
    <xf numFmtId="0" fontId="8" fillId="0" borderId="248" xfId="0" applyNumberFormat="1" applyFont="1" applyBorder="1" applyAlignment="1">
      <alignment horizontal="center" vertical="center"/>
    </xf>
    <xf numFmtId="0" fontId="8" fillId="0" borderId="244" xfId="0" applyNumberFormat="1" applyFont="1" applyBorder="1" applyAlignment="1">
      <alignment horizontal="center" vertical="center" wrapText="1"/>
    </xf>
    <xf numFmtId="0" fontId="8" fillId="0" borderId="249" xfId="0" applyNumberFormat="1" applyFont="1" applyBorder="1" applyAlignment="1">
      <alignment horizontal="center" vertical="center" wrapText="1"/>
    </xf>
    <xf numFmtId="0" fontId="8" fillId="0" borderId="246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250" xfId="0" applyNumberFormat="1" applyFont="1" applyBorder="1" applyAlignment="1">
      <alignment horizontal="center" vertical="center" wrapText="1"/>
    </xf>
    <xf numFmtId="0" fontId="8" fillId="0" borderId="251" xfId="0" applyNumberFormat="1" applyFont="1" applyBorder="1" applyAlignment="1">
      <alignment horizontal="center" vertical="center" wrapText="1"/>
    </xf>
    <xf numFmtId="0" fontId="21" fillId="0" borderId="59" xfId="70" applyFont="1" applyFill="1" applyBorder="1" applyAlignment="1">
      <alignment horizontal="left" vertical="center"/>
      <protection/>
    </xf>
    <xf numFmtId="0" fontId="21" fillId="0" borderId="252" xfId="70" applyFont="1" applyFill="1" applyBorder="1" applyAlignment="1">
      <alignment horizontal="left" vertical="center"/>
      <protection/>
    </xf>
    <xf numFmtId="0" fontId="21" fillId="0" borderId="26" xfId="70" applyFont="1" applyFill="1" applyBorder="1" applyAlignment="1">
      <alignment horizontal="left" vertical="center"/>
      <protection/>
    </xf>
    <xf numFmtId="0" fontId="21" fillId="0" borderId="77" xfId="70" applyFont="1" applyFill="1" applyBorder="1" applyAlignment="1">
      <alignment horizontal="left" vertical="center"/>
      <protection/>
    </xf>
    <xf numFmtId="0" fontId="21" fillId="0" borderId="102" xfId="70" applyFont="1" applyFill="1" applyBorder="1" applyAlignment="1">
      <alignment horizontal="left" vertical="center"/>
      <protection/>
    </xf>
    <xf numFmtId="0" fontId="21" fillId="0" borderId="116" xfId="70" applyFont="1" applyFill="1" applyBorder="1" applyAlignment="1">
      <alignment horizontal="left" vertical="center"/>
      <protection/>
    </xf>
    <xf numFmtId="0" fontId="21" fillId="0" borderId="29" xfId="70" applyFont="1" applyFill="1" applyBorder="1" applyAlignment="1">
      <alignment horizontal="left" vertical="center"/>
      <protection/>
    </xf>
    <xf numFmtId="0" fontId="21" fillId="0" borderId="15" xfId="70" applyFont="1" applyFill="1" applyBorder="1" applyAlignment="1">
      <alignment horizontal="left" vertical="center"/>
      <protection/>
    </xf>
    <xf numFmtId="0" fontId="21" fillId="0" borderId="253" xfId="70" applyFont="1" applyFill="1" applyBorder="1" applyAlignment="1">
      <alignment horizontal="left" vertical="center"/>
      <protection/>
    </xf>
    <xf numFmtId="0" fontId="21" fillId="0" borderId="254" xfId="70" applyFont="1" applyFill="1" applyBorder="1" applyAlignment="1">
      <alignment horizontal="left" vertical="center"/>
      <protection/>
    </xf>
    <xf numFmtId="0" fontId="21" fillId="0" borderId="95" xfId="70" applyFont="1" applyFill="1" applyBorder="1" applyAlignment="1">
      <alignment horizontal="center" vertical="center" wrapText="1"/>
      <protection/>
    </xf>
    <xf numFmtId="0" fontId="21" fillId="0" borderId="113" xfId="70" applyFont="1" applyFill="1" applyBorder="1" applyAlignment="1">
      <alignment horizontal="center" vertical="center" wrapText="1"/>
      <protection/>
    </xf>
    <xf numFmtId="0" fontId="21" fillId="0" borderId="255" xfId="70" applyFont="1" applyFill="1" applyBorder="1" applyAlignment="1">
      <alignment horizontal="center" vertical="center" wrapText="1"/>
      <protection/>
    </xf>
    <xf numFmtId="0" fontId="21" fillId="0" borderId="119" xfId="70" applyFont="1" applyFill="1" applyBorder="1" applyAlignment="1">
      <alignment horizontal="center" vertical="center" wrapText="1"/>
      <protection/>
    </xf>
    <xf numFmtId="3" fontId="21" fillId="0" borderId="95" xfId="70" applyNumberFormat="1" applyFont="1" applyFill="1" applyBorder="1" applyAlignment="1">
      <alignment horizontal="center" vertical="center" wrapText="1"/>
      <protection/>
    </xf>
    <xf numFmtId="3" fontId="21" fillId="0" borderId="113" xfId="70" applyNumberFormat="1" applyFont="1" applyFill="1" applyBorder="1" applyAlignment="1">
      <alignment horizontal="center" vertical="center" wrapText="1"/>
      <protection/>
    </xf>
    <xf numFmtId="3" fontId="21" fillId="0" borderId="255" xfId="70" applyNumberFormat="1" applyFont="1" applyFill="1" applyBorder="1" applyAlignment="1">
      <alignment horizontal="center" vertical="center" wrapText="1"/>
      <protection/>
    </xf>
    <xf numFmtId="3" fontId="21" fillId="0" borderId="119" xfId="7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21" fillId="0" borderId="120" xfId="70" applyFont="1" applyFill="1" applyBorder="1" applyAlignment="1">
      <alignment horizontal="center" vertical="center"/>
      <protection/>
    </xf>
    <xf numFmtId="0" fontId="21" fillId="0" borderId="256" xfId="70" applyFont="1" applyFill="1" applyBorder="1" applyAlignment="1">
      <alignment horizontal="center" vertical="center"/>
      <protection/>
    </xf>
    <xf numFmtId="0" fontId="21" fillId="0" borderId="46" xfId="70" applyFont="1" applyFill="1" applyBorder="1" applyAlignment="1">
      <alignment horizontal="center" vertical="center"/>
      <protection/>
    </xf>
    <xf numFmtId="0" fontId="21" fillId="0" borderId="205" xfId="70" applyFont="1" applyFill="1" applyBorder="1" applyAlignment="1">
      <alignment horizontal="center" vertical="center"/>
      <protection/>
    </xf>
    <xf numFmtId="0" fontId="21" fillId="0" borderId="235" xfId="70" applyFont="1" applyFill="1" applyBorder="1" applyAlignment="1">
      <alignment horizontal="center" vertical="center"/>
      <protection/>
    </xf>
    <xf numFmtId="0" fontId="21" fillId="0" borderId="80" xfId="70" applyFont="1" applyFill="1" applyBorder="1" applyAlignment="1">
      <alignment horizontal="center" vertical="center"/>
      <protection/>
    </xf>
    <xf numFmtId="0" fontId="21" fillId="0" borderId="133" xfId="70" applyFont="1" applyFill="1" applyBorder="1" applyAlignment="1">
      <alignment horizontal="center" vertical="center" wrapText="1"/>
      <protection/>
    </xf>
    <xf numFmtId="0" fontId="21" fillId="0" borderId="257" xfId="70" applyFont="1" applyFill="1" applyBorder="1" applyAlignment="1">
      <alignment horizontal="center" vertical="center" wrapText="1"/>
      <protection/>
    </xf>
    <xf numFmtId="0" fontId="21" fillId="0" borderId="203" xfId="70" applyFont="1" applyFill="1" applyBorder="1" applyAlignment="1">
      <alignment horizontal="center"/>
      <protection/>
    </xf>
    <xf numFmtId="0" fontId="21" fillId="0" borderId="258" xfId="70" applyFont="1" applyFill="1" applyBorder="1" applyAlignment="1">
      <alignment horizontal="center"/>
      <protection/>
    </xf>
    <xf numFmtId="0" fontId="21" fillId="0" borderId="204" xfId="70" applyFont="1" applyFill="1" applyBorder="1" applyAlignment="1">
      <alignment horizontal="center"/>
      <protection/>
    </xf>
    <xf numFmtId="0" fontId="21" fillId="0" borderId="202" xfId="70" applyFont="1" applyFill="1" applyBorder="1" applyAlignment="1">
      <alignment horizontal="center"/>
      <protection/>
    </xf>
    <xf numFmtId="0" fontId="21" fillId="0" borderId="259" xfId="70" applyFont="1" applyFill="1" applyBorder="1" applyAlignment="1">
      <alignment horizontal="center" vertical="center"/>
      <protection/>
    </xf>
    <xf numFmtId="0" fontId="21" fillId="0" borderId="96" xfId="70" applyFont="1" applyFill="1" applyBorder="1" applyAlignment="1">
      <alignment horizontal="center" vertical="center"/>
      <protection/>
    </xf>
    <xf numFmtId="0" fontId="21" fillId="0" borderId="255" xfId="70" applyFont="1" applyFill="1" applyBorder="1" applyAlignment="1">
      <alignment horizontal="center" vertical="center"/>
      <protection/>
    </xf>
    <xf numFmtId="0" fontId="21" fillId="0" borderId="119" xfId="70" applyFont="1" applyFill="1" applyBorder="1" applyAlignment="1">
      <alignment horizontal="center" vertical="center"/>
      <protection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21" fillId="0" borderId="130" xfId="70" applyFont="1" applyFill="1" applyBorder="1" applyAlignment="1">
      <alignment horizontal="left" vertical="center"/>
      <protection/>
    </xf>
    <xf numFmtId="0" fontId="21" fillId="0" borderId="260" xfId="70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21" fillId="0" borderId="57" xfId="70" applyFont="1" applyFill="1" applyBorder="1" applyAlignment="1">
      <alignment horizontal="left" vertical="center"/>
      <protection/>
    </xf>
    <xf numFmtId="0" fontId="21" fillId="0" borderId="148" xfId="70" applyFont="1" applyFill="1" applyBorder="1" applyAlignment="1">
      <alignment horizontal="left" vertical="center"/>
      <protection/>
    </xf>
    <xf numFmtId="0" fontId="17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1" fillId="0" borderId="199" xfId="70" applyFont="1" applyFill="1" applyBorder="1" applyAlignment="1">
      <alignment horizontal="left" vertical="center"/>
      <protection/>
    </xf>
    <xf numFmtId="0" fontId="21" fillId="0" borderId="261" xfId="70" applyFont="1" applyFill="1" applyBorder="1" applyAlignment="1">
      <alignment horizontal="left" vertical="center"/>
      <protection/>
    </xf>
    <xf numFmtId="0" fontId="21" fillId="0" borderId="262" xfId="70" applyFont="1" applyFill="1" applyBorder="1" applyAlignment="1">
      <alignment horizontal="center" vertical="center"/>
      <protection/>
    </xf>
    <xf numFmtId="0" fontId="21" fillId="0" borderId="0" xfId="70" applyFont="1" applyFill="1" applyBorder="1" applyAlignment="1">
      <alignment horizontal="center" vertical="center"/>
      <protection/>
    </xf>
    <xf numFmtId="0" fontId="21" fillId="0" borderId="237" xfId="70" applyFont="1" applyFill="1" applyBorder="1" applyAlignment="1">
      <alignment horizontal="center" vertical="center"/>
      <protection/>
    </xf>
    <xf numFmtId="0" fontId="21" fillId="0" borderId="243" xfId="70" applyFont="1" applyFill="1" applyBorder="1" applyAlignment="1">
      <alignment horizontal="center"/>
      <protection/>
    </xf>
    <xf numFmtId="0" fontId="21" fillId="0" borderId="221" xfId="70" applyFont="1" applyFill="1" applyBorder="1" applyAlignment="1">
      <alignment horizontal="center" vertical="center"/>
      <protection/>
    </xf>
    <xf numFmtId="0" fontId="21" fillId="0" borderId="65" xfId="70" applyFont="1" applyFill="1" applyBorder="1" applyAlignment="1">
      <alignment horizontal="center" vertical="center"/>
      <protection/>
    </xf>
    <xf numFmtId="0" fontId="21" fillId="0" borderId="263" xfId="70" applyFont="1" applyFill="1" applyBorder="1" applyAlignment="1">
      <alignment horizontal="center" vertical="center"/>
      <protection/>
    </xf>
    <xf numFmtId="0" fontId="21" fillId="0" borderId="64" xfId="70" applyFont="1" applyFill="1" applyBorder="1" applyAlignment="1">
      <alignment horizontal="center" vertical="center"/>
      <protection/>
    </xf>
    <xf numFmtId="0" fontId="21" fillId="0" borderId="104" xfId="70" applyFont="1" applyFill="1" applyBorder="1" applyAlignment="1">
      <alignment horizontal="center" vertical="center" wrapText="1"/>
      <protection/>
    </xf>
    <xf numFmtId="0" fontId="21" fillId="0" borderId="263" xfId="70" applyFont="1" applyFill="1" applyBorder="1" applyAlignment="1">
      <alignment horizontal="center" vertical="center" wrapText="1"/>
      <protection/>
    </xf>
    <xf numFmtId="0" fontId="21" fillId="0" borderId="264" xfId="70" applyFont="1" applyFill="1" applyBorder="1" applyAlignment="1">
      <alignment horizontal="center" vertical="center" wrapText="1"/>
      <protection/>
    </xf>
    <xf numFmtId="0" fontId="21" fillId="0" borderId="265" xfId="70" applyFont="1" applyFill="1" applyBorder="1" applyAlignment="1">
      <alignment horizontal="center" vertical="center" wrapText="1"/>
      <protection/>
    </xf>
    <xf numFmtId="0" fontId="21" fillId="0" borderId="114" xfId="70" applyFont="1" applyFill="1" applyBorder="1" applyAlignment="1">
      <alignment horizontal="center" vertical="center"/>
      <protection/>
    </xf>
    <xf numFmtId="0" fontId="21" fillId="0" borderId="113" xfId="70" applyFont="1" applyFill="1" applyBorder="1" applyAlignment="1">
      <alignment horizontal="center" vertical="center"/>
      <protection/>
    </xf>
    <xf numFmtId="0" fontId="21" fillId="0" borderId="213" xfId="70" applyFont="1" applyFill="1" applyBorder="1" applyAlignment="1">
      <alignment horizontal="center" vertical="center"/>
      <protection/>
    </xf>
    <xf numFmtId="0" fontId="21" fillId="0" borderId="264" xfId="70" applyFont="1" applyFill="1" applyBorder="1" applyAlignment="1">
      <alignment horizontal="center" vertical="center"/>
      <protection/>
    </xf>
    <xf numFmtId="0" fontId="21" fillId="0" borderId="95" xfId="70" applyFont="1" applyFill="1" applyBorder="1" applyAlignment="1">
      <alignment horizontal="center" vertical="center"/>
      <protection/>
    </xf>
    <xf numFmtId="0" fontId="21" fillId="0" borderId="265" xfId="70" applyFont="1" applyFill="1" applyBorder="1" applyAlignment="1">
      <alignment horizontal="center" vertical="center"/>
      <protection/>
    </xf>
    <xf numFmtId="3" fontId="21" fillId="0" borderId="104" xfId="70" applyNumberFormat="1" applyFont="1" applyFill="1" applyBorder="1" applyAlignment="1">
      <alignment horizontal="center" vertical="center" wrapText="1"/>
      <protection/>
    </xf>
    <xf numFmtId="3" fontId="21" fillId="0" borderId="263" xfId="70" applyNumberFormat="1" applyFont="1" applyFill="1" applyBorder="1" applyAlignment="1">
      <alignment horizontal="center" vertical="center" wrapText="1"/>
      <protection/>
    </xf>
    <xf numFmtId="3" fontId="21" fillId="0" borderId="264" xfId="70" applyNumberFormat="1" applyFont="1" applyFill="1" applyBorder="1" applyAlignment="1">
      <alignment horizontal="center" vertical="center" wrapText="1"/>
      <protection/>
    </xf>
    <xf numFmtId="0" fontId="21" fillId="0" borderId="64" xfId="70" applyFont="1" applyFill="1" applyBorder="1" applyAlignment="1">
      <alignment horizontal="center" vertical="center" wrapText="1"/>
      <protection/>
    </xf>
    <xf numFmtId="3" fontId="21" fillId="0" borderId="114" xfId="70" applyNumberFormat="1" applyFont="1" applyFill="1" applyBorder="1" applyAlignment="1">
      <alignment horizontal="center" vertical="center" wrapText="1"/>
      <protection/>
    </xf>
    <xf numFmtId="3" fontId="21" fillId="0" borderId="265" xfId="70" applyNumberFormat="1" applyFont="1" applyFill="1" applyBorder="1" applyAlignment="1">
      <alignment horizontal="center" vertical="center" wrapText="1"/>
      <protection/>
    </xf>
    <xf numFmtId="3" fontId="21" fillId="0" borderId="213" xfId="7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21" fillId="0" borderId="169" xfId="70" applyFont="1" applyFill="1" applyBorder="1" applyAlignment="1">
      <alignment horizontal="left" vertical="center"/>
      <protection/>
    </xf>
    <xf numFmtId="0" fontId="21" fillId="0" borderId="81" xfId="70" applyFont="1" applyFill="1" applyBorder="1" applyAlignment="1">
      <alignment horizontal="center" vertical="center"/>
      <protection/>
    </xf>
    <xf numFmtId="0" fontId="21" fillId="0" borderId="266" xfId="70" applyFont="1" applyFill="1" applyBorder="1" applyAlignment="1">
      <alignment horizontal="center" vertical="center"/>
      <protection/>
    </xf>
    <xf numFmtId="0" fontId="6" fillId="0" borderId="142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6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268" xfId="0" applyFont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243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269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 textRotation="90"/>
    </xf>
    <xf numFmtId="0" fontId="9" fillId="0" borderId="247" xfId="0" applyFont="1" applyBorder="1" applyAlignment="1">
      <alignment horizontal="center" vertical="center" textRotation="90"/>
    </xf>
    <xf numFmtId="2" fontId="8" fillId="0" borderId="0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52" fillId="0" borderId="36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/>
    </xf>
    <xf numFmtId="3" fontId="52" fillId="0" borderId="38" xfId="0" applyNumberFormat="1" applyFont="1" applyFill="1" applyBorder="1" applyAlignment="1">
      <alignment horizontal="right" vertical="center"/>
    </xf>
    <xf numFmtId="3" fontId="52" fillId="0" borderId="222" xfId="0" applyNumberFormat="1" applyFont="1" applyFill="1" applyBorder="1" applyAlignment="1">
      <alignment horizontal="right" vertical="center"/>
    </xf>
    <xf numFmtId="0" fontId="52" fillId="0" borderId="270" xfId="0" applyFont="1" applyBorder="1" applyAlignment="1">
      <alignment horizontal="center" vertical="center" wrapText="1"/>
    </xf>
    <xf numFmtId="0" fontId="52" fillId="0" borderId="271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259" xfId="0" applyFont="1" applyBorder="1" applyAlignment="1">
      <alignment horizontal="center" vertical="center" wrapText="1"/>
    </xf>
    <xf numFmtId="0" fontId="52" fillId="0" borderId="9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52" fillId="0" borderId="75" xfId="0" applyNumberFormat="1" applyFont="1" applyFill="1" applyBorder="1" applyAlignment="1">
      <alignment horizontal="right" vertical="center"/>
    </xf>
    <xf numFmtId="3" fontId="52" fillId="0" borderId="223" xfId="0" applyNumberFormat="1" applyFont="1" applyFill="1" applyBorder="1" applyAlignment="1">
      <alignment horizontal="right" vertical="center"/>
    </xf>
    <xf numFmtId="0" fontId="52" fillId="0" borderId="210" xfId="0" applyFont="1" applyBorder="1" applyAlignment="1">
      <alignment horizontal="center" vertical="center"/>
    </xf>
    <xf numFmtId="0" fontId="52" fillId="0" borderId="211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52" fillId="0" borderId="199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0" borderId="27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 wrapText="1"/>
    </xf>
    <xf numFmtId="3" fontId="3" fillId="0" borderId="213" xfId="0" applyNumberFormat="1" applyFont="1" applyBorder="1" applyAlignment="1">
      <alignment horizontal="center" vertical="center"/>
    </xf>
    <xf numFmtId="3" fontId="8" fillId="0" borderId="215" xfId="60" applyNumberFormat="1" applyFont="1" applyBorder="1" applyAlignment="1">
      <alignment horizontal="center" vertical="center" wrapText="1"/>
      <protection/>
    </xf>
    <xf numFmtId="3" fontId="8" fillId="0" borderId="212" xfId="60" applyNumberFormat="1" applyFont="1" applyBorder="1" applyAlignment="1">
      <alignment horizontal="center" vertical="center" wrapText="1"/>
      <protection/>
    </xf>
    <xf numFmtId="0" fontId="8" fillId="0" borderId="67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/>
      <protection/>
    </xf>
    <xf numFmtId="3" fontId="8" fillId="0" borderId="215" xfId="60" applyNumberFormat="1" applyFont="1" applyBorder="1" applyAlignment="1">
      <alignment horizontal="center" vertical="center"/>
      <protection/>
    </xf>
    <xf numFmtId="3" fontId="8" fillId="0" borderId="70" xfId="60" applyNumberFormat="1" applyFont="1" applyBorder="1" applyAlignment="1">
      <alignment horizontal="center" vertical="center"/>
      <protection/>
    </xf>
    <xf numFmtId="0" fontId="55" fillId="0" borderId="0" xfId="60" applyFont="1" applyAlignment="1">
      <alignment horizont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" fontId="8" fillId="0" borderId="38" xfId="60" applyNumberFormat="1" applyFont="1" applyBorder="1" applyAlignment="1">
      <alignment horizontal="center" vertical="center" wrapText="1"/>
      <protection/>
    </xf>
    <xf numFmtId="3" fontId="8" fillId="0" borderId="75" xfId="60" applyNumberFormat="1" applyFont="1" applyBorder="1" applyAlignment="1">
      <alignment horizontal="center" vertical="center" wrapText="1"/>
      <protection/>
    </xf>
    <xf numFmtId="0" fontId="8" fillId="0" borderId="102" xfId="60" applyFont="1" applyBorder="1" applyAlignment="1">
      <alignment horizontal="center" vertical="center"/>
      <protection/>
    </xf>
    <xf numFmtId="0" fontId="8" fillId="0" borderId="171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3" fontId="8" fillId="0" borderId="106" xfId="60" applyNumberFormat="1" applyFont="1" applyBorder="1" applyAlignment="1">
      <alignment horizontal="center" vertical="center" wrapText="1"/>
      <protection/>
    </xf>
    <xf numFmtId="3" fontId="8" fillId="0" borderId="61" xfId="60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9702KV1_2011 ktv. táblák" xfId="58"/>
    <cellStyle name="Normál_Beruh.felú-átadott-átvett" xfId="59"/>
    <cellStyle name="Normál_Brigitől kisebbségek_Munkafüzet1" xfId="60"/>
    <cellStyle name="Normál_Munkafüzet1_1" xfId="61"/>
    <cellStyle name="Normál_Munkafüzet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ableStyleLigh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7"/>
  <sheetViews>
    <sheetView zoomScalePageLayoutView="0" workbookViewId="0" topLeftCell="A7">
      <selection activeCell="E37" sqref="E37"/>
    </sheetView>
  </sheetViews>
  <sheetFormatPr defaultColWidth="9.00390625" defaultRowHeight="12.75"/>
  <cols>
    <col min="1" max="1" width="42.625" style="394" customWidth="1"/>
    <col min="2" max="2" width="14.00390625" style="394" customWidth="1"/>
    <col min="3" max="4" width="13.625" style="394" customWidth="1"/>
    <col min="5" max="5" width="12.375" style="394" customWidth="1"/>
    <col min="6" max="6" width="13.00390625" style="394" customWidth="1"/>
    <col min="7" max="7" width="11.375" style="394" customWidth="1"/>
    <col min="8" max="8" width="12.00390625" style="394" customWidth="1"/>
    <col min="9" max="9" width="15.125" style="394" customWidth="1"/>
    <col min="10" max="10" width="9.125" style="394" customWidth="1"/>
    <col min="11" max="11" width="10.875" style="394" bestFit="1" customWidth="1"/>
    <col min="12" max="16384" width="9.125" style="394" customWidth="1"/>
  </cols>
  <sheetData>
    <row r="1" spans="1:2" ht="12">
      <c r="A1" s="393" t="s">
        <v>243</v>
      </c>
      <c r="B1" s="77" t="s">
        <v>917</v>
      </c>
    </row>
    <row r="2" ht="12">
      <c r="A2" s="393"/>
    </row>
    <row r="3" spans="1:9" ht="12.75">
      <c r="A3" s="1157" t="s">
        <v>704</v>
      </c>
      <c r="B3" s="1158"/>
      <c r="C3" s="1158"/>
      <c r="D3" s="1158"/>
      <c r="E3" s="1158"/>
      <c r="F3" s="1158"/>
      <c r="G3" s="1158"/>
      <c r="H3" s="1158"/>
      <c r="I3" s="1158"/>
    </row>
    <row r="4" ht="12">
      <c r="A4" s="395"/>
    </row>
    <row r="5" spans="1:3" ht="12">
      <c r="A5" s="396"/>
      <c r="B5" s="396"/>
      <c r="C5" s="396"/>
    </row>
    <row r="6" ht="12.75" thickBot="1">
      <c r="I6" s="698" t="s">
        <v>705</v>
      </c>
    </row>
    <row r="7" spans="1:9" ht="48.75" thickBot="1">
      <c r="A7" s="397" t="s">
        <v>55</v>
      </c>
      <c r="B7" s="417" t="s">
        <v>703</v>
      </c>
      <c r="C7" s="417" t="s">
        <v>835</v>
      </c>
      <c r="D7" s="1148" t="s">
        <v>543</v>
      </c>
      <c r="E7" s="1149" t="s">
        <v>342</v>
      </c>
      <c r="F7" s="1150" t="s">
        <v>57</v>
      </c>
      <c r="G7" s="1151" t="s">
        <v>546</v>
      </c>
      <c r="H7" s="1150" t="s">
        <v>234</v>
      </c>
      <c r="I7" s="398" t="s">
        <v>56</v>
      </c>
    </row>
    <row r="8" spans="1:9" ht="12">
      <c r="A8" s="399" t="s">
        <v>59</v>
      </c>
      <c r="B8" s="634"/>
      <c r="C8" s="634"/>
      <c r="D8" s="647"/>
      <c r="E8" s="648"/>
      <c r="F8" s="649"/>
      <c r="G8" s="649"/>
      <c r="H8" s="649"/>
      <c r="I8" s="650"/>
    </row>
    <row r="9" spans="1:9" ht="12">
      <c r="A9" s="400" t="s">
        <v>140</v>
      </c>
      <c r="B9" s="635">
        <v>943043242</v>
      </c>
      <c r="C9" s="635">
        <f aca="true" t="shared" si="0" ref="C9:C25">SUM(D9:I9)</f>
        <v>1207259196.6</v>
      </c>
      <c r="D9" s="651"/>
      <c r="E9" s="652"/>
      <c r="F9" s="653"/>
      <c r="G9" s="653"/>
      <c r="H9" s="653"/>
      <c r="I9" s="654">
        <f>b_k_ré!D13</f>
        <v>1207259196.6</v>
      </c>
    </row>
    <row r="10" spans="1:9" ht="12">
      <c r="A10" s="400" t="s">
        <v>182</v>
      </c>
      <c r="B10" s="635">
        <v>0</v>
      </c>
      <c r="C10" s="635">
        <f t="shared" si="0"/>
        <v>0</v>
      </c>
      <c r="D10" s="651"/>
      <c r="E10" s="652"/>
      <c r="F10" s="653"/>
      <c r="G10" s="653"/>
      <c r="H10" s="653"/>
      <c r="I10" s="655">
        <f>b_k_ré!J14</f>
        <v>0</v>
      </c>
    </row>
    <row r="11" spans="1:9" ht="12">
      <c r="A11" s="400" t="s">
        <v>183</v>
      </c>
      <c r="B11" s="635">
        <v>0</v>
      </c>
      <c r="C11" s="635">
        <f t="shared" si="0"/>
        <v>0</v>
      </c>
      <c r="D11" s="651"/>
      <c r="E11" s="652"/>
      <c r="F11" s="653"/>
      <c r="G11" s="653"/>
      <c r="H11" s="653"/>
      <c r="I11" s="655"/>
    </row>
    <row r="12" spans="1:9" ht="12">
      <c r="A12" s="400" t="s">
        <v>184</v>
      </c>
      <c r="B12" s="635">
        <v>0</v>
      </c>
      <c r="C12" s="635">
        <f t="shared" si="0"/>
        <v>0</v>
      </c>
      <c r="D12" s="651"/>
      <c r="E12" s="652"/>
      <c r="F12" s="653"/>
      <c r="G12" s="653"/>
      <c r="H12" s="653"/>
      <c r="I12" s="655"/>
    </row>
    <row r="13" spans="1:9" ht="12">
      <c r="A13" s="400" t="s">
        <v>185</v>
      </c>
      <c r="B13" s="635">
        <v>0</v>
      </c>
      <c r="C13" s="635">
        <f t="shared" si="0"/>
        <v>0</v>
      </c>
      <c r="D13" s="651"/>
      <c r="E13" s="652"/>
      <c r="F13" s="653"/>
      <c r="G13" s="653"/>
      <c r="H13" s="653"/>
      <c r="I13" s="655"/>
    </row>
    <row r="14" spans="1:9" ht="12.75" thickBot="1">
      <c r="A14" s="401" t="s">
        <v>147</v>
      </c>
      <c r="B14" s="636">
        <v>36649114</v>
      </c>
      <c r="C14" s="636">
        <f t="shared" si="0"/>
        <v>57411044</v>
      </c>
      <c r="D14" s="656">
        <f>b_k_ré!E28</f>
        <v>4800000</v>
      </c>
      <c r="E14" s="657">
        <f>b_k_ré!F28</f>
        <v>0</v>
      </c>
      <c r="F14" s="657">
        <f>b_k_ré!G28</f>
        <v>0</v>
      </c>
      <c r="G14" s="658">
        <f>b_k_ré!H28</f>
        <v>0</v>
      </c>
      <c r="H14" s="658">
        <f>b_k_ré!I28</f>
        <v>0</v>
      </c>
      <c r="I14" s="659">
        <f>b_k_ré!J28</f>
        <v>52611044</v>
      </c>
    </row>
    <row r="15" spans="1:9" s="403" customFormat="1" ht="12.75" thickBot="1">
      <c r="A15" s="402" t="s">
        <v>141</v>
      </c>
      <c r="B15" s="637">
        <f>SUM(B9:B14)</f>
        <v>979692356</v>
      </c>
      <c r="C15" s="637">
        <f t="shared" si="0"/>
        <v>1264670240.6</v>
      </c>
      <c r="D15" s="660">
        <f aca="true" t="shared" si="1" ref="D15:I15">SUM(D9:D14)</f>
        <v>4800000</v>
      </c>
      <c r="E15" s="660">
        <f t="shared" si="1"/>
        <v>0</v>
      </c>
      <c r="F15" s="661">
        <f t="shared" si="1"/>
        <v>0</v>
      </c>
      <c r="G15" s="662">
        <f t="shared" si="1"/>
        <v>0</v>
      </c>
      <c r="H15" s="662">
        <f t="shared" si="1"/>
        <v>0</v>
      </c>
      <c r="I15" s="663">
        <f t="shared" si="1"/>
        <v>1259870240.6</v>
      </c>
    </row>
    <row r="16" spans="1:9" ht="12">
      <c r="A16" s="404" t="s">
        <v>189</v>
      </c>
      <c r="B16" s="638">
        <v>0</v>
      </c>
      <c r="C16" s="638">
        <f t="shared" si="0"/>
        <v>400000000</v>
      </c>
      <c r="D16" s="664"/>
      <c r="E16" s="665"/>
      <c r="F16" s="666"/>
      <c r="G16" s="667"/>
      <c r="H16" s="667"/>
      <c r="I16" s="668">
        <f>b_k_ré!J33</f>
        <v>400000000</v>
      </c>
    </row>
    <row r="17" spans="1:9" ht="12">
      <c r="A17" s="400" t="s">
        <v>190</v>
      </c>
      <c r="B17" s="635">
        <v>0</v>
      </c>
      <c r="C17" s="635">
        <f t="shared" si="0"/>
        <v>0</v>
      </c>
      <c r="D17" s="669"/>
      <c r="E17" s="670"/>
      <c r="F17" s="671"/>
      <c r="G17" s="652"/>
      <c r="H17" s="652"/>
      <c r="I17" s="655"/>
    </row>
    <row r="18" spans="1:9" ht="12">
      <c r="A18" s="400" t="s">
        <v>191</v>
      </c>
      <c r="B18" s="635">
        <v>0</v>
      </c>
      <c r="C18" s="635">
        <f t="shared" si="0"/>
        <v>0</v>
      </c>
      <c r="D18" s="669"/>
      <c r="E18" s="670"/>
      <c r="F18" s="671"/>
      <c r="G18" s="652"/>
      <c r="H18" s="652"/>
      <c r="I18" s="655"/>
    </row>
    <row r="19" spans="1:9" ht="12">
      <c r="A19" s="400" t="s">
        <v>192</v>
      </c>
      <c r="B19" s="635">
        <v>0</v>
      </c>
      <c r="C19" s="635">
        <f t="shared" si="0"/>
        <v>0</v>
      </c>
      <c r="D19" s="669"/>
      <c r="E19" s="670"/>
      <c r="F19" s="671"/>
      <c r="G19" s="652"/>
      <c r="H19" s="652"/>
      <c r="I19" s="655"/>
    </row>
    <row r="20" spans="1:9" ht="12.75" thickBot="1">
      <c r="A20" s="401" t="s">
        <v>193</v>
      </c>
      <c r="B20" s="636">
        <v>200905588</v>
      </c>
      <c r="C20" s="636">
        <f t="shared" si="0"/>
        <v>673495706</v>
      </c>
      <c r="D20" s="656">
        <f>b_k_ré!E44</f>
        <v>0</v>
      </c>
      <c r="E20" s="657">
        <f>b_k_ré!F44</f>
        <v>0</v>
      </c>
      <c r="F20" s="657">
        <f>b_k_ré!G44</f>
        <v>0</v>
      </c>
      <c r="G20" s="658">
        <f>b_k_ré!H44</f>
        <v>0</v>
      </c>
      <c r="H20" s="658">
        <f>b_k_ré!I44</f>
        <v>0</v>
      </c>
      <c r="I20" s="659">
        <f>b_k_ré!D44</f>
        <v>673495706</v>
      </c>
    </row>
    <row r="21" spans="1:9" s="403" customFormat="1" ht="12.75" thickBot="1">
      <c r="A21" s="402" t="s">
        <v>142</v>
      </c>
      <c r="B21" s="637">
        <f>SUM(B16:B20)</f>
        <v>200905588</v>
      </c>
      <c r="C21" s="637">
        <f t="shared" si="0"/>
        <v>1073495706</v>
      </c>
      <c r="D21" s="660">
        <f aca="true" t="shared" si="2" ref="D21:I21">SUM(D16:D20)</f>
        <v>0</v>
      </c>
      <c r="E21" s="661">
        <f t="shared" si="2"/>
        <v>0</v>
      </c>
      <c r="F21" s="661">
        <f t="shared" si="2"/>
        <v>0</v>
      </c>
      <c r="G21" s="662">
        <f t="shared" si="2"/>
        <v>0</v>
      </c>
      <c r="H21" s="662">
        <f t="shared" si="2"/>
        <v>0</v>
      </c>
      <c r="I21" s="663">
        <f t="shared" si="2"/>
        <v>1073495706</v>
      </c>
    </row>
    <row r="22" spans="1:9" ht="12">
      <c r="A22" s="404" t="s">
        <v>143</v>
      </c>
      <c r="B22" s="638">
        <v>0</v>
      </c>
      <c r="C22" s="638">
        <f t="shared" si="0"/>
        <v>0</v>
      </c>
      <c r="D22" s="664"/>
      <c r="E22" s="672"/>
      <c r="F22" s="667"/>
      <c r="G22" s="673"/>
      <c r="H22" s="673"/>
      <c r="I22" s="668">
        <f>b_k_ré!J45</f>
        <v>0</v>
      </c>
    </row>
    <row r="23" spans="1:9" ht="12">
      <c r="A23" s="400" t="s">
        <v>175</v>
      </c>
      <c r="B23" s="635">
        <v>90000000</v>
      </c>
      <c r="C23" s="635">
        <f t="shared" si="0"/>
        <v>80971800</v>
      </c>
      <c r="D23" s="651"/>
      <c r="E23" s="652"/>
      <c r="F23" s="653"/>
      <c r="G23" s="653"/>
      <c r="H23" s="653"/>
      <c r="I23" s="655">
        <f>b_k_ré!J48</f>
        <v>80971800</v>
      </c>
    </row>
    <row r="24" spans="1:9" ht="12">
      <c r="A24" s="400" t="s">
        <v>144</v>
      </c>
      <c r="B24" s="635">
        <v>250500000</v>
      </c>
      <c r="C24" s="635">
        <f t="shared" si="0"/>
        <v>432617334</v>
      </c>
      <c r="D24" s="651"/>
      <c r="E24" s="652"/>
      <c r="F24" s="653"/>
      <c r="G24" s="653"/>
      <c r="H24" s="653"/>
      <c r="I24" s="655">
        <f>b_k_ré!J55</f>
        <v>432617334</v>
      </c>
    </row>
    <row r="25" spans="1:9" ht="12">
      <c r="A25" s="400" t="s">
        <v>145</v>
      </c>
      <c r="B25" s="635">
        <v>6985480</v>
      </c>
      <c r="C25" s="635">
        <f t="shared" si="0"/>
        <v>8793611</v>
      </c>
      <c r="D25" s="651">
        <f>b_k_ré!E60</f>
        <v>480000</v>
      </c>
      <c r="E25" s="652"/>
      <c r="F25" s="653"/>
      <c r="G25" s="653"/>
      <c r="H25" s="653"/>
      <c r="I25" s="655">
        <f>b_k_ré!J60</f>
        <v>8313611</v>
      </c>
    </row>
    <row r="26" spans="1:9" s="403" customFormat="1" ht="12">
      <c r="A26" s="405" t="s">
        <v>0</v>
      </c>
      <c r="B26" s="639">
        <f>SUM(B22:B25)</f>
        <v>347485480</v>
      </c>
      <c r="C26" s="639">
        <f aca="true" t="shared" si="3" ref="C26:I26">SUM(C22:C25)</f>
        <v>522382745</v>
      </c>
      <c r="D26" s="674">
        <f t="shared" si="3"/>
        <v>480000</v>
      </c>
      <c r="E26" s="675">
        <f t="shared" si="3"/>
        <v>0</v>
      </c>
      <c r="F26" s="675">
        <f t="shared" si="3"/>
        <v>0</v>
      </c>
      <c r="G26" s="675">
        <f t="shared" si="3"/>
        <v>0</v>
      </c>
      <c r="H26" s="675">
        <f t="shared" si="3"/>
        <v>0</v>
      </c>
      <c r="I26" s="676">
        <f t="shared" si="3"/>
        <v>521902745</v>
      </c>
    </row>
    <row r="27" spans="1:9" s="403" customFormat="1" ht="12">
      <c r="A27" s="405" t="s">
        <v>104</v>
      </c>
      <c r="B27" s="639">
        <v>636897902</v>
      </c>
      <c r="C27" s="639">
        <f>SUM(D27:I27)</f>
        <v>528123368</v>
      </c>
      <c r="D27" s="639">
        <f>b_k_ré!E84</f>
        <v>7705027</v>
      </c>
      <c r="E27" s="675">
        <f>b_k_ré!F84</f>
        <v>58926244</v>
      </c>
      <c r="F27" s="675">
        <f>b_k_ré!G84</f>
        <v>13195675</v>
      </c>
      <c r="G27" s="677">
        <f>b_k_ré!H84</f>
        <v>54685</v>
      </c>
      <c r="H27" s="677">
        <f>b_k_ré!I84</f>
        <v>175054224</v>
      </c>
      <c r="I27" s="676">
        <f>b_k_ré!J84</f>
        <v>273187513</v>
      </c>
    </row>
    <row r="28" spans="1:9" s="403" customFormat="1" ht="12">
      <c r="A28" s="405" t="s">
        <v>148</v>
      </c>
      <c r="B28" s="639">
        <v>0</v>
      </c>
      <c r="C28" s="639">
        <f>SUM(D28:I28)</f>
        <v>593323</v>
      </c>
      <c r="D28" s="675">
        <f>b_k_ré!E91</f>
        <v>49213</v>
      </c>
      <c r="E28" s="675">
        <f>b_k_ré!F91</f>
        <v>0</v>
      </c>
      <c r="F28" s="675">
        <f>b_k_ré!G91</f>
        <v>0</v>
      </c>
      <c r="G28" s="675">
        <f>b_k_ré!H91</f>
        <v>0</v>
      </c>
      <c r="H28" s="675">
        <f>b_k_ré!I91</f>
        <v>0</v>
      </c>
      <c r="I28" s="676">
        <f>b_k_ré!J91</f>
        <v>544110</v>
      </c>
    </row>
    <row r="29" spans="1:9" s="403" customFormat="1" ht="12">
      <c r="A29" s="405" t="s">
        <v>149</v>
      </c>
      <c r="B29" s="639">
        <v>40229130</v>
      </c>
      <c r="C29" s="639">
        <f>SUM(D29:I29)</f>
        <v>400000</v>
      </c>
      <c r="D29" s="674">
        <f>b_k_ré!E98</f>
        <v>0</v>
      </c>
      <c r="E29" s="675">
        <f>b_k_ré!F98</f>
        <v>0</v>
      </c>
      <c r="F29" s="675">
        <f>b_k_ré!G98</f>
        <v>0</v>
      </c>
      <c r="G29" s="675">
        <f>b_k_ré!H98</f>
        <v>0</v>
      </c>
      <c r="H29" s="675">
        <f>b_k_ré!I98</f>
        <v>0</v>
      </c>
      <c r="I29" s="676">
        <f>b_k_ré!J98+b_k_ré!J93</f>
        <v>400000</v>
      </c>
    </row>
    <row r="30" spans="1:9" s="403" customFormat="1" ht="12.75" thickBot="1">
      <c r="A30" s="405" t="s">
        <v>150</v>
      </c>
      <c r="B30" s="639">
        <v>2327340</v>
      </c>
      <c r="C30" s="639">
        <f>SUM(D30:I30)</f>
        <v>63329627</v>
      </c>
      <c r="D30" s="678">
        <f>b_k_ré!E109</f>
        <v>2327340</v>
      </c>
      <c r="E30" s="678">
        <f>b_k_ré!F109</f>
        <v>0</v>
      </c>
      <c r="F30" s="678">
        <f>b_k_ré!G109</f>
        <v>0</v>
      </c>
      <c r="G30" s="678">
        <f>b_k_ré!H109</f>
        <v>0</v>
      </c>
      <c r="H30" s="678">
        <f>b_k_ré!I109</f>
        <v>0</v>
      </c>
      <c r="I30" s="679">
        <f>b_k_ré!J109</f>
        <v>61002287</v>
      </c>
    </row>
    <row r="31" spans="1:11" s="407" customFormat="1" ht="13.5" thickBot="1">
      <c r="A31" s="406" t="s">
        <v>61</v>
      </c>
      <c r="B31" s="640">
        <f>B15+B21+B26+B27+B28+B29+B30</f>
        <v>2207537796</v>
      </c>
      <c r="C31" s="640">
        <f aca="true" t="shared" si="4" ref="C31:I31">C15+C21+C26+C27+C28+C29+C30</f>
        <v>3452995009.6</v>
      </c>
      <c r="D31" s="680">
        <f t="shared" si="4"/>
        <v>15361580</v>
      </c>
      <c r="E31" s="681">
        <f t="shared" si="4"/>
        <v>58926244</v>
      </c>
      <c r="F31" s="681">
        <f t="shared" si="4"/>
        <v>13195675</v>
      </c>
      <c r="G31" s="681">
        <f t="shared" si="4"/>
        <v>54685</v>
      </c>
      <c r="H31" s="681">
        <f t="shared" si="4"/>
        <v>175054224</v>
      </c>
      <c r="I31" s="682">
        <f t="shared" si="4"/>
        <v>3190402601.6</v>
      </c>
      <c r="K31" s="408"/>
    </row>
    <row r="32" spans="1:9" ht="12">
      <c r="A32" s="409" t="s">
        <v>157</v>
      </c>
      <c r="B32" s="641">
        <v>0</v>
      </c>
      <c r="C32" s="641">
        <f>SUM(D32:I32)</f>
        <v>0</v>
      </c>
      <c r="D32" s="647"/>
      <c r="E32" s="648"/>
      <c r="F32" s="649"/>
      <c r="G32" s="649"/>
      <c r="H32" s="649"/>
      <c r="I32" s="650"/>
    </row>
    <row r="33" spans="1:9" ht="12">
      <c r="A33" s="400" t="s">
        <v>158</v>
      </c>
      <c r="B33" s="642">
        <v>0</v>
      </c>
      <c r="C33" s="642">
        <f aca="true" t="shared" si="5" ref="C33:C38">SUM(D33:I33)</f>
        <v>0</v>
      </c>
      <c r="D33" s="651"/>
      <c r="E33" s="652"/>
      <c r="F33" s="653"/>
      <c r="G33" s="653"/>
      <c r="H33" s="653"/>
      <c r="I33" s="655"/>
    </row>
    <row r="34" spans="1:9" ht="12">
      <c r="A34" s="404" t="s">
        <v>159</v>
      </c>
      <c r="B34" s="642">
        <v>3082384687</v>
      </c>
      <c r="C34" s="642">
        <f t="shared" si="5"/>
        <v>3090560001</v>
      </c>
      <c r="D34" s="1083">
        <f>2384687-1924457</f>
        <v>460230</v>
      </c>
      <c r="E34" s="652">
        <v>676117</v>
      </c>
      <c r="F34" s="653">
        <v>544969</v>
      </c>
      <c r="G34" s="653">
        <v>561857</v>
      </c>
      <c r="H34" s="653">
        <v>633777</v>
      </c>
      <c r="I34" s="655">
        <f>3080000000+7683051</f>
        <v>3087683051</v>
      </c>
    </row>
    <row r="35" spans="1:9" ht="12">
      <c r="A35" s="400" t="s">
        <v>37</v>
      </c>
      <c r="B35" s="643">
        <v>0</v>
      </c>
      <c r="C35" s="643">
        <f t="shared" si="5"/>
        <v>43500865</v>
      </c>
      <c r="D35" s="651"/>
      <c r="E35" s="652"/>
      <c r="F35" s="653"/>
      <c r="G35" s="653"/>
      <c r="H35" s="653"/>
      <c r="I35" s="655">
        <v>43500865</v>
      </c>
    </row>
    <row r="36" spans="1:9" ht="12">
      <c r="A36" s="400" t="s">
        <v>228</v>
      </c>
      <c r="B36" s="642">
        <v>0</v>
      </c>
      <c r="C36" s="642">
        <f t="shared" si="5"/>
        <v>0</v>
      </c>
      <c r="D36" s="651"/>
      <c r="E36" s="652"/>
      <c r="F36" s="653"/>
      <c r="G36" s="653"/>
      <c r="H36" s="653"/>
      <c r="I36" s="655"/>
    </row>
    <row r="37" spans="1:9" ht="12">
      <c r="A37" s="400" t="s">
        <v>160</v>
      </c>
      <c r="B37" s="642">
        <v>1128207814</v>
      </c>
      <c r="C37" s="642">
        <f t="shared" si="5"/>
        <v>1206045772</v>
      </c>
      <c r="D37" s="651">
        <f>b_k_ré!J161</f>
        <v>285685713</v>
      </c>
      <c r="E37" s="653">
        <f>b_k_ré!J162</f>
        <v>200858136</v>
      </c>
      <c r="F37" s="653">
        <f>b_k_ré!J164</f>
        <v>87573072</v>
      </c>
      <c r="G37" s="653">
        <f>b_k_ré!J165</f>
        <v>233840597</v>
      </c>
      <c r="H37" s="653">
        <f>b_k_ré!J163</f>
        <v>398088254</v>
      </c>
      <c r="I37" s="655"/>
    </row>
    <row r="38" spans="1:9" ht="12.75" thickBot="1">
      <c r="A38" s="401" t="s">
        <v>386</v>
      </c>
      <c r="B38" s="644">
        <v>0</v>
      </c>
      <c r="C38" s="644">
        <f t="shared" si="5"/>
        <v>0</v>
      </c>
      <c r="D38" s="683"/>
      <c r="E38" s="658"/>
      <c r="F38" s="684"/>
      <c r="G38" s="684"/>
      <c r="H38" s="684"/>
      <c r="I38" s="659"/>
    </row>
    <row r="39" spans="1:9" s="403" customFormat="1" ht="12.75" thickBot="1">
      <c r="A39" s="402" t="s">
        <v>161</v>
      </c>
      <c r="B39" s="637">
        <f>SUM(B32:B38)</f>
        <v>4210592501</v>
      </c>
      <c r="C39" s="637">
        <f>SUM(D39:I39)</f>
        <v>4340106638</v>
      </c>
      <c r="D39" s="685">
        <f aca="true" t="shared" si="6" ref="D39:I39">SUM(D32:D38)</f>
        <v>286145943</v>
      </c>
      <c r="E39" s="686">
        <f t="shared" si="6"/>
        <v>201534253</v>
      </c>
      <c r="F39" s="686">
        <f t="shared" si="6"/>
        <v>88118041</v>
      </c>
      <c r="G39" s="686">
        <f t="shared" si="6"/>
        <v>234402454</v>
      </c>
      <c r="H39" s="686">
        <f t="shared" si="6"/>
        <v>398722031</v>
      </c>
      <c r="I39" s="663">
        <f t="shared" si="6"/>
        <v>3131183916</v>
      </c>
    </row>
    <row r="40" spans="1:9" s="403" customFormat="1" ht="12.75" thickBot="1">
      <c r="A40" s="402" t="s">
        <v>162</v>
      </c>
      <c r="B40" s="637">
        <v>0</v>
      </c>
      <c r="C40" s="637">
        <f>SUM(D40:I40)</f>
        <v>0</v>
      </c>
      <c r="D40" s="685"/>
      <c r="E40" s="662"/>
      <c r="F40" s="686"/>
      <c r="G40" s="686"/>
      <c r="H40" s="686"/>
      <c r="I40" s="663"/>
    </row>
    <row r="41" spans="1:9" s="403" customFormat="1" ht="12.75" thickBot="1">
      <c r="A41" s="402" t="s">
        <v>38</v>
      </c>
      <c r="B41" s="637">
        <v>0</v>
      </c>
      <c r="C41" s="637">
        <f>SUM(D41:I41)</f>
        <v>0</v>
      </c>
      <c r="D41" s="687"/>
      <c r="E41" s="688"/>
      <c r="F41" s="661"/>
      <c r="G41" s="689"/>
      <c r="H41" s="690"/>
      <c r="I41" s="691"/>
    </row>
    <row r="42" spans="1:9" s="411" customFormat="1" ht="13.5" thickBot="1">
      <c r="A42" s="410" t="s">
        <v>81</v>
      </c>
      <c r="B42" s="645">
        <f>B39+B40+B41</f>
        <v>4210592501</v>
      </c>
      <c r="C42" s="645">
        <f aca="true" t="shared" si="7" ref="C42:I42">C39+C40+C41</f>
        <v>4340106638</v>
      </c>
      <c r="D42" s="692">
        <f t="shared" si="7"/>
        <v>286145943</v>
      </c>
      <c r="E42" s="693">
        <f>E39+E40+E41</f>
        <v>201534253</v>
      </c>
      <c r="F42" s="693">
        <f t="shared" si="7"/>
        <v>88118041</v>
      </c>
      <c r="G42" s="693">
        <f t="shared" si="7"/>
        <v>234402454</v>
      </c>
      <c r="H42" s="693">
        <f t="shared" si="7"/>
        <v>398722031</v>
      </c>
      <c r="I42" s="694">
        <f t="shared" si="7"/>
        <v>3131183916</v>
      </c>
    </row>
    <row r="43" spans="1:9" s="411" customFormat="1" ht="13.5" thickBot="1">
      <c r="A43" s="412" t="s">
        <v>90</v>
      </c>
      <c r="B43" s="646">
        <f>B42+B31</f>
        <v>6418130297</v>
      </c>
      <c r="C43" s="646">
        <f aca="true" t="shared" si="8" ref="C43:I43">C42+C31</f>
        <v>7793101647.6</v>
      </c>
      <c r="D43" s="695">
        <f t="shared" si="8"/>
        <v>301507523</v>
      </c>
      <c r="E43" s="696">
        <f>E42+E31</f>
        <v>260460497</v>
      </c>
      <c r="F43" s="696">
        <f t="shared" si="8"/>
        <v>101313716</v>
      </c>
      <c r="G43" s="696">
        <f t="shared" si="8"/>
        <v>234457139</v>
      </c>
      <c r="H43" s="696">
        <f t="shared" si="8"/>
        <v>573776255</v>
      </c>
      <c r="I43" s="697">
        <f t="shared" si="8"/>
        <v>6321586517.6</v>
      </c>
    </row>
    <row r="44" spans="2:9" s="413" customFormat="1" ht="12">
      <c r="B44" s="414"/>
      <c r="C44" s="414"/>
      <c r="D44" s="415"/>
      <c r="E44" s="415"/>
      <c r="F44" s="415"/>
      <c r="G44" s="415"/>
      <c r="H44" s="415"/>
      <c r="I44" s="415"/>
    </row>
    <row r="45" spans="2:9" ht="12">
      <c r="B45" s="416"/>
      <c r="C45" s="416"/>
      <c r="D45" s="416"/>
      <c r="E45" s="416"/>
      <c r="F45" s="416"/>
      <c r="G45" s="416"/>
      <c r="H45" s="416"/>
      <c r="I45" s="416"/>
    </row>
    <row r="46" ht="12">
      <c r="I46" s="416"/>
    </row>
    <row r="47" ht="12">
      <c r="I47" s="416"/>
    </row>
  </sheetData>
  <sheetProtection/>
  <mergeCells count="1">
    <mergeCell ref="A3:I3"/>
  </mergeCells>
  <printOptions horizontalCentered="1"/>
  <pageMargins left="0.17" right="0.16" top="0.5511811023622047" bottom="0" header="0.5118110236220472" footer="0.39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4"/>
  <sheetViews>
    <sheetView zoomScalePageLayoutView="0" workbookViewId="0" topLeftCell="A21">
      <selection activeCell="A54" sqref="A54:IV54"/>
    </sheetView>
  </sheetViews>
  <sheetFormatPr defaultColWidth="9.00390625" defaultRowHeight="12.75"/>
  <cols>
    <col min="1" max="1" width="11.625" style="0" customWidth="1"/>
    <col min="2" max="2" width="42.75390625" style="509" customWidth="1"/>
    <col min="3" max="3" width="10.625" style="0" customWidth="1"/>
    <col min="4" max="4" width="11.375" style="0" customWidth="1"/>
    <col min="5" max="5" width="9.375" style="0" customWidth="1"/>
    <col min="6" max="6" width="10.625" style="0" customWidth="1"/>
    <col min="7" max="8" width="9.375" style="0" customWidth="1"/>
    <col min="9" max="9" width="9.375" style="0" bestFit="1" customWidth="1"/>
    <col min="10" max="10" width="10.125" style="0" customWidth="1"/>
    <col min="11" max="11" width="9.00390625" style="0" customWidth="1"/>
    <col min="12" max="12" width="8.375" style="0" customWidth="1"/>
    <col min="13" max="13" width="6.00390625" style="0" customWidth="1"/>
    <col min="14" max="14" width="8.375" style="0" customWidth="1"/>
    <col min="15" max="15" width="9.375" style="0" bestFit="1" customWidth="1"/>
    <col min="16" max="16" width="10.625" style="0" customWidth="1"/>
    <col min="17" max="17" width="10.00390625" style="0" customWidth="1"/>
    <col min="18" max="18" width="8.375" style="0" customWidth="1"/>
    <col min="19" max="19" width="9.25390625" style="0" customWidth="1"/>
    <col min="20" max="20" width="9.375" style="0" customWidth="1"/>
    <col min="21" max="24" width="10.625" style="0" customWidth="1"/>
    <col min="25" max="25" width="9.375" style="0" customWidth="1"/>
    <col min="26" max="26" width="10.625" style="0" customWidth="1"/>
    <col min="27" max="33" width="9.125" style="0" customWidth="1"/>
  </cols>
  <sheetData>
    <row r="1" spans="3:8" ht="12.75">
      <c r="C1" s="247" t="s">
        <v>457</v>
      </c>
      <c r="D1" s="431" t="str">
        <f>'bev-int'!B1</f>
        <v>melléklet a …/2024. (III.  .) önkormányzati rendelethez</v>
      </c>
      <c r="E1" s="431" t="str">
        <f>'bev-int'!B1</f>
        <v>melléklet a …/2024. (III.  .) önkormányzati rendelethez</v>
      </c>
      <c r="F1" s="431"/>
      <c r="G1" s="431"/>
      <c r="H1" s="431"/>
    </row>
    <row r="2" ht="12.75" hidden="1"/>
    <row r="4" spans="1:26" ht="12.75">
      <c r="A4" s="1216" t="s">
        <v>713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  <c r="U4" s="1216"/>
      <c r="V4" s="1216"/>
      <c r="W4" s="1216"/>
      <c r="X4" s="1216"/>
      <c r="Y4" s="1216"/>
      <c r="Z4" s="1216"/>
    </row>
    <row r="5" spans="1:16" ht="13.5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26" ht="15.75" customHeight="1">
      <c r="A6" s="1217" t="s">
        <v>55</v>
      </c>
      <c r="B6" s="1218"/>
      <c r="C6" s="1229" t="s">
        <v>244</v>
      </c>
      <c r="D6" s="1218"/>
      <c r="E6" s="1225" t="s">
        <v>104</v>
      </c>
      <c r="F6" s="1226"/>
      <c r="G6" s="1226"/>
      <c r="H6" s="1226"/>
      <c r="I6" s="1226"/>
      <c r="J6" s="1226"/>
      <c r="K6" s="1226"/>
      <c r="L6" s="1226"/>
      <c r="M6" s="1226"/>
      <c r="N6" s="1228"/>
      <c r="O6" s="1225" t="s">
        <v>148</v>
      </c>
      <c r="P6" s="1226"/>
      <c r="Q6" s="1226"/>
      <c r="R6" s="1226"/>
      <c r="S6" s="1226"/>
      <c r="T6" s="1228"/>
      <c r="U6" s="1225" t="s">
        <v>81</v>
      </c>
      <c r="V6" s="1226"/>
      <c r="W6" s="1226"/>
      <c r="X6" s="1226"/>
      <c r="Y6" s="1226"/>
      <c r="Z6" s="1227"/>
    </row>
    <row r="7" spans="1:26" ht="13.5" customHeight="1">
      <c r="A7" s="1219"/>
      <c r="B7" s="1220"/>
      <c r="C7" s="1230"/>
      <c r="D7" s="1220"/>
      <c r="E7" s="1208" t="str">
        <f>'bev-int'!A15</f>
        <v>Működési célú támogatások ÁH belülről</v>
      </c>
      <c r="F7" s="1209"/>
      <c r="G7" s="1208" t="str">
        <f>'bev-int'!A26</f>
        <v>Közhatalmi bevételek</v>
      </c>
      <c r="H7" s="1209"/>
      <c r="I7" s="1208" t="str">
        <f>'bev-int'!A27</f>
        <v>Működési bevételek</v>
      </c>
      <c r="J7" s="1209"/>
      <c r="K7" s="1208" t="str">
        <f>'bev-int'!A29</f>
        <v>Működési célú átvett pénzeszközök</v>
      </c>
      <c r="L7" s="1209"/>
      <c r="M7" s="1208" t="s">
        <v>251</v>
      </c>
      <c r="N7" s="1209"/>
      <c r="O7" s="1208" t="str">
        <f>'bev-int'!A21</f>
        <v>Felhalmozási célú támogatások ÁH belülről</v>
      </c>
      <c r="P7" s="1209"/>
      <c r="Q7" s="1208" t="str">
        <f>'bev-int'!A28</f>
        <v>Felhalmozási bevételek</v>
      </c>
      <c r="R7" s="1209"/>
      <c r="S7" s="1208" t="str">
        <f>'bev-int'!A30</f>
        <v>Felhalmozási célú átvett pénzeszközök</v>
      </c>
      <c r="T7" s="1209"/>
      <c r="U7" s="1212" t="str">
        <f>'bev-int'!A34</f>
        <v>Maradvány igénybevétele</v>
      </c>
      <c r="V7" s="1213"/>
      <c r="W7" s="1212" t="s">
        <v>542</v>
      </c>
      <c r="X7" s="1213"/>
      <c r="Y7" s="1208" t="s">
        <v>497</v>
      </c>
      <c r="Z7" s="1223"/>
    </row>
    <row r="8" spans="1:26" ht="19.5" customHeight="1" thickBot="1">
      <c r="A8" s="1219"/>
      <c r="B8" s="1220"/>
      <c r="C8" s="1231"/>
      <c r="D8" s="1232"/>
      <c r="E8" s="1210"/>
      <c r="F8" s="1211"/>
      <c r="G8" s="1210"/>
      <c r="H8" s="1211"/>
      <c r="I8" s="1210"/>
      <c r="J8" s="1211"/>
      <c r="K8" s="1210"/>
      <c r="L8" s="1211"/>
      <c r="M8" s="1210"/>
      <c r="N8" s="1211"/>
      <c r="O8" s="1210"/>
      <c r="P8" s="1211"/>
      <c r="Q8" s="1210"/>
      <c r="R8" s="1211"/>
      <c r="S8" s="1210"/>
      <c r="T8" s="1211"/>
      <c r="U8" s="1214"/>
      <c r="V8" s="1215"/>
      <c r="W8" s="1214"/>
      <c r="X8" s="1215"/>
      <c r="Y8" s="1210"/>
      <c r="Z8" s="1224"/>
    </row>
    <row r="9" spans="1:26" ht="18.75" customHeight="1" hidden="1" thickBot="1">
      <c r="A9" s="1221"/>
      <c r="B9" s="1222"/>
      <c r="C9" s="274" t="s">
        <v>465</v>
      </c>
      <c r="D9" s="272" t="s">
        <v>466</v>
      </c>
      <c r="E9" s="274" t="s">
        <v>465</v>
      </c>
      <c r="F9" s="272" t="s">
        <v>466</v>
      </c>
      <c r="G9" s="274" t="s">
        <v>465</v>
      </c>
      <c r="H9" s="272" t="s">
        <v>466</v>
      </c>
      <c r="I9" s="274" t="s">
        <v>465</v>
      </c>
      <c r="J9" s="272" t="s">
        <v>466</v>
      </c>
      <c r="K9" s="274" t="s">
        <v>465</v>
      </c>
      <c r="L9" s="272" t="s">
        <v>466</v>
      </c>
      <c r="M9" s="274" t="s">
        <v>465</v>
      </c>
      <c r="N9" s="272" t="s">
        <v>466</v>
      </c>
      <c r="O9" s="274" t="s">
        <v>465</v>
      </c>
      <c r="P9" s="272" t="s">
        <v>466</v>
      </c>
      <c r="Q9" s="274" t="s">
        <v>465</v>
      </c>
      <c r="R9" s="272" t="s">
        <v>466</v>
      </c>
      <c r="S9" s="274" t="s">
        <v>465</v>
      </c>
      <c r="T9" s="272" t="s">
        <v>466</v>
      </c>
      <c r="U9" s="274" t="s">
        <v>465</v>
      </c>
      <c r="V9" s="272" t="s">
        <v>466</v>
      </c>
      <c r="W9" s="274" t="s">
        <v>465</v>
      </c>
      <c r="X9" s="272" t="s">
        <v>466</v>
      </c>
      <c r="Y9" s="274" t="s">
        <v>465</v>
      </c>
      <c r="Z9" s="273" t="s">
        <v>466</v>
      </c>
    </row>
    <row r="10" spans="1:26" ht="12.75">
      <c r="A10" s="1200"/>
      <c r="B10" s="1201"/>
      <c r="C10" s="169"/>
      <c r="D10" s="169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170"/>
      <c r="V10" s="170"/>
      <c r="W10" s="170"/>
      <c r="X10" s="170"/>
      <c r="Y10" s="277"/>
      <c r="Z10" s="275"/>
    </row>
    <row r="11" spans="1:26" s="75" customFormat="1" ht="15" customHeight="1">
      <c r="A11" s="110" t="s">
        <v>257</v>
      </c>
      <c r="B11" s="109" t="s">
        <v>256</v>
      </c>
      <c r="C11" s="172">
        <f>E11+G11+I11+K11+M11+O11+Q11+S11+U11+Y11+W11</f>
        <v>0</v>
      </c>
      <c r="D11" s="172">
        <f>F11+H11+J11+L11+N11+P11+R11+T11+V11+Z11+X11</f>
        <v>0</v>
      </c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278"/>
      <c r="Z11" s="276"/>
    </row>
    <row r="12" spans="1:26" s="75" customFormat="1" ht="15" customHeight="1">
      <c r="A12" s="110" t="s">
        <v>404</v>
      </c>
      <c r="B12" s="109" t="s">
        <v>552</v>
      </c>
      <c r="C12" s="172">
        <f aca="true" t="shared" si="0" ref="C12:C57">E12+G12+I12+K12+M12+O12+Q12+S12+U12+Y12+W12</f>
        <v>0</v>
      </c>
      <c r="D12" s="172">
        <f aca="true" t="shared" si="1" ref="D12:D57">F12+H12+J12+L12+N12+P12+R12+T12+V12+Z12+X12</f>
        <v>0</v>
      </c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278"/>
      <c r="Z12" s="276"/>
    </row>
    <row r="13" spans="1:26" s="75" customFormat="1" ht="15" customHeight="1">
      <c r="A13" s="110" t="s">
        <v>257</v>
      </c>
      <c r="B13" s="109" t="s">
        <v>539</v>
      </c>
      <c r="C13" s="808">
        <f t="shared" si="0"/>
        <v>5371567</v>
      </c>
      <c r="D13" s="808">
        <f t="shared" si="1"/>
        <v>5371567</v>
      </c>
      <c r="E13" s="809"/>
      <c r="F13" s="809"/>
      <c r="G13" s="809"/>
      <c r="H13" s="809"/>
      <c r="I13" s="809">
        <v>5371567</v>
      </c>
      <c r="J13" s="809">
        <v>5371567</v>
      </c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11"/>
      <c r="Z13" s="812"/>
    </row>
    <row r="14" spans="1:26" s="75" customFormat="1" ht="15" customHeight="1">
      <c r="A14" s="110" t="s">
        <v>257</v>
      </c>
      <c r="B14" s="109" t="s">
        <v>541</v>
      </c>
      <c r="C14" s="808">
        <f t="shared" si="0"/>
        <v>25866704</v>
      </c>
      <c r="D14" s="808">
        <f t="shared" si="1"/>
        <v>25866704</v>
      </c>
      <c r="E14" s="809"/>
      <c r="F14" s="809"/>
      <c r="G14" s="809"/>
      <c r="H14" s="809"/>
      <c r="I14" s="809">
        <v>25866704</v>
      </c>
      <c r="J14" s="809">
        <v>25866704</v>
      </c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11"/>
      <c r="Z14" s="812"/>
    </row>
    <row r="15" spans="1:26" s="75" customFormat="1" ht="15" customHeight="1">
      <c r="A15" s="110" t="s">
        <v>257</v>
      </c>
      <c r="B15" s="109" t="s">
        <v>910</v>
      </c>
      <c r="C15" s="808">
        <f t="shared" si="0"/>
        <v>0</v>
      </c>
      <c r="D15" s="808">
        <f t="shared" si="1"/>
        <v>7559757</v>
      </c>
      <c r="E15" s="809"/>
      <c r="F15" s="809"/>
      <c r="G15" s="809"/>
      <c r="H15" s="809">
        <v>5240</v>
      </c>
      <c r="I15" s="809"/>
      <c r="J15" s="809">
        <v>7512126</v>
      </c>
      <c r="K15" s="809"/>
      <c r="L15" s="809"/>
      <c r="M15" s="809"/>
      <c r="N15" s="809"/>
      <c r="O15" s="809"/>
      <c r="P15" s="809"/>
      <c r="Q15" s="809"/>
      <c r="R15" s="809"/>
      <c r="S15" s="809"/>
      <c r="T15" s="809">
        <v>42391</v>
      </c>
      <c r="U15" s="809"/>
      <c r="V15" s="809"/>
      <c r="W15" s="809"/>
      <c r="X15" s="809"/>
      <c r="Y15" s="811"/>
      <c r="Z15" s="812"/>
    </row>
    <row r="16" spans="1:26" s="75" customFormat="1" ht="15" customHeight="1">
      <c r="A16" s="110" t="s">
        <v>257</v>
      </c>
      <c r="B16" s="109" t="s">
        <v>549</v>
      </c>
      <c r="C16" s="808">
        <f t="shared" si="0"/>
        <v>943043242</v>
      </c>
      <c r="D16" s="808">
        <f t="shared" si="1"/>
        <v>1207259197</v>
      </c>
      <c r="E16" s="809">
        <v>943043242</v>
      </c>
      <c r="F16" s="809">
        <v>1207259197</v>
      </c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09"/>
      <c r="X16" s="809"/>
      <c r="Y16" s="811"/>
      <c r="Z16" s="812"/>
    </row>
    <row r="17" spans="1:26" s="75" customFormat="1" ht="15" customHeight="1">
      <c r="A17" s="110" t="s">
        <v>257</v>
      </c>
      <c r="B17" s="510" t="s">
        <v>786</v>
      </c>
      <c r="C17" s="808">
        <f t="shared" si="0"/>
        <v>3080000000</v>
      </c>
      <c r="D17" s="808">
        <f t="shared" si="1"/>
        <v>3131183916</v>
      </c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809"/>
      <c r="S17" s="809"/>
      <c r="T17" s="809"/>
      <c r="U17" s="809">
        <v>3080000000</v>
      </c>
      <c r="V17" s="809">
        <v>3087683051</v>
      </c>
      <c r="W17" s="809"/>
      <c r="X17" s="809">
        <v>43500865</v>
      </c>
      <c r="Y17" s="811"/>
      <c r="Z17" s="812"/>
    </row>
    <row r="18" spans="1:26" s="75" customFormat="1" ht="15" customHeight="1">
      <c r="A18" s="110" t="s">
        <v>257</v>
      </c>
      <c r="B18" s="548" t="s">
        <v>914</v>
      </c>
      <c r="C18" s="808">
        <f t="shared" si="0"/>
        <v>0</v>
      </c>
      <c r="D18" s="808">
        <f t="shared" si="1"/>
        <v>13504</v>
      </c>
      <c r="E18" s="809"/>
      <c r="F18" s="809"/>
      <c r="G18" s="809"/>
      <c r="H18" s="809">
        <v>1500</v>
      </c>
      <c r="I18" s="809"/>
      <c r="J18" s="809">
        <v>12004</v>
      </c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11"/>
      <c r="Z18" s="812"/>
    </row>
    <row r="19" spans="1:26" s="75" customFormat="1" ht="15" customHeight="1">
      <c r="A19" s="433" t="s">
        <v>257</v>
      </c>
      <c r="B19" s="109" t="s">
        <v>535</v>
      </c>
      <c r="C19" s="808">
        <f t="shared" si="0"/>
        <v>1980048</v>
      </c>
      <c r="D19" s="808">
        <f t="shared" si="1"/>
        <v>9465066</v>
      </c>
      <c r="E19" s="809">
        <v>1980048</v>
      </c>
      <c r="F19" s="809">
        <v>9465066</v>
      </c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11"/>
      <c r="Z19" s="812"/>
    </row>
    <row r="20" spans="1:26" s="75" customFormat="1" ht="15" customHeight="1">
      <c r="A20" s="110" t="s">
        <v>257</v>
      </c>
      <c r="B20" s="109" t="s">
        <v>536</v>
      </c>
      <c r="C20" s="808">
        <f t="shared" si="0"/>
        <v>0</v>
      </c>
      <c r="D20" s="808">
        <f t="shared" si="1"/>
        <v>737430</v>
      </c>
      <c r="E20" s="809"/>
      <c r="F20" s="809">
        <v>737430</v>
      </c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11"/>
      <c r="Z20" s="812"/>
    </row>
    <row r="21" spans="1:26" s="75" customFormat="1" ht="15" customHeight="1">
      <c r="A21" s="110" t="s">
        <v>257</v>
      </c>
      <c r="B21" s="109" t="s">
        <v>699</v>
      </c>
      <c r="C21" s="808">
        <f t="shared" si="0"/>
        <v>0</v>
      </c>
      <c r="D21" s="808">
        <f t="shared" si="1"/>
        <v>0</v>
      </c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11"/>
      <c r="Z21" s="812"/>
    </row>
    <row r="22" spans="1:26" s="75" customFormat="1" ht="15" customHeight="1">
      <c r="A22" s="110" t="s">
        <v>257</v>
      </c>
      <c r="B22" s="109" t="s">
        <v>264</v>
      </c>
      <c r="C22" s="808">
        <f t="shared" si="0"/>
        <v>37945028</v>
      </c>
      <c r="D22" s="808">
        <f t="shared" si="1"/>
        <v>37894571</v>
      </c>
      <c r="E22" s="809"/>
      <c r="F22" s="809"/>
      <c r="G22" s="809"/>
      <c r="H22" s="809"/>
      <c r="I22" s="809">
        <v>37945028</v>
      </c>
      <c r="J22" s="809">
        <v>37894571</v>
      </c>
      <c r="K22" s="809"/>
      <c r="L22" s="809"/>
      <c r="M22" s="809"/>
      <c r="N22" s="809"/>
      <c r="O22" s="809"/>
      <c r="P22" s="809"/>
      <c r="Q22" s="809"/>
      <c r="R22" s="809"/>
      <c r="S22" s="809"/>
      <c r="T22" s="809"/>
      <c r="U22" s="809"/>
      <c r="V22" s="809"/>
      <c r="W22" s="809"/>
      <c r="X22" s="809"/>
      <c r="Y22" s="811"/>
      <c r="Z22" s="812"/>
    </row>
    <row r="23" spans="1:26" s="75" customFormat="1" ht="15.75" customHeight="1">
      <c r="A23" s="110" t="s">
        <v>257</v>
      </c>
      <c r="B23" s="109" t="s">
        <v>265</v>
      </c>
      <c r="C23" s="808">
        <f t="shared" si="0"/>
        <v>0</v>
      </c>
      <c r="D23" s="808">
        <f t="shared" si="1"/>
        <v>832591</v>
      </c>
      <c r="E23" s="809"/>
      <c r="F23" s="809"/>
      <c r="G23" s="809"/>
      <c r="H23" s="809"/>
      <c r="I23" s="809"/>
      <c r="J23" s="809">
        <v>832591</v>
      </c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11"/>
      <c r="Z23" s="812"/>
    </row>
    <row r="24" spans="1:26" s="75" customFormat="1" ht="15" customHeight="1" hidden="1">
      <c r="A24" s="110" t="s">
        <v>257</v>
      </c>
      <c r="B24" s="109"/>
      <c r="C24" s="808">
        <v>0</v>
      </c>
      <c r="D24" s="808">
        <f t="shared" si="1"/>
        <v>0</v>
      </c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11"/>
      <c r="Z24" s="812"/>
    </row>
    <row r="25" spans="1:26" s="75" customFormat="1" ht="15" customHeight="1">
      <c r="A25" s="437" t="s">
        <v>257</v>
      </c>
      <c r="B25" s="438" t="s">
        <v>8</v>
      </c>
      <c r="C25" s="808">
        <v>0</v>
      </c>
      <c r="D25" s="808">
        <f>F25+H25+J25+L25+N25+P25+R25+T25+V25+Z25+X25</f>
        <v>0</v>
      </c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11"/>
      <c r="Z25" s="812"/>
    </row>
    <row r="26" spans="1:26" s="75" customFormat="1" ht="15" customHeight="1">
      <c r="A26" s="110" t="s">
        <v>257</v>
      </c>
      <c r="B26" s="109" t="s">
        <v>288</v>
      </c>
      <c r="C26" s="808">
        <f t="shared" si="0"/>
        <v>381000</v>
      </c>
      <c r="D26" s="808">
        <f t="shared" si="1"/>
        <v>0</v>
      </c>
      <c r="E26" s="809"/>
      <c r="F26" s="809"/>
      <c r="G26" s="809"/>
      <c r="H26" s="809"/>
      <c r="I26" s="809">
        <v>381000</v>
      </c>
      <c r="J26" s="809">
        <v>0</v>
      </c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11"/>
      <c r="Z26" s="812"/>
    </row>
    <row r="27" spans="1:26" s="75" customFormat="1" ht="15" customHeight="1">
      <c r="A27" s="110" t="s">
        <v>257</v>
      </c>
      <c r="B27" s="109" t="s">
        <v>289</v>
      </c>
      <c r="C27" s="808">
        <f t="shared" si="0"/>
        <v>1864929</v>
      </c>
      <c r="D27" s="808">
        <f t="shared" si="1"/>
        <v>1555362</v>
      </c>
      <c r="E27" s="809"/>
      <c r="F27" s="809"/>
      <c r="G27" s="809"/>
      <c r="H27" s="809"/>
      <c r="I27" s="809">
        <v>1864929</v>
      </c>
      <c r="J27" s="809">
        <v>1555362</v>
      </c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  <c r="Y27" s="811"/>
      <c r="Z27" s="812"/>
    </row>
    <row r="28" spans="1:26" s="75" customFormat="1" ht="15" customHeight="1">
      <c r="A28" s="110" t="s">
        <v>257</v>
      </c>
      <c r="B28" s="109" t="s">
        <v>295</v>
      </c>
      <c r="C28" s="808">
        <f t="shared" si="0"/>
        <v>2680000</v>
      </c>
      <c r="D28" s="808">
        <f t="shared" si="1"/>
        <v>1343367</v>
      </c>
      <c r="E28" s="809"/>
      <c r="F28" s="809"/>
      <c r="G28" s="809"/>
      <c r="H28" s="809"/>
      <c r="I28" s="809">
        <v>2680000</v>
      </c>
      <c r="J28" s="809">
        <v>1343367</v>
      </c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11"/>
      <c r="Z28" s="812"/>
    </row>
    <row r="29" spans="1:26" s="75" customFormat="1" ht="15" customHeight="1">
      <c r="A29" s="110" t="s">
        <v>257</v>
      </c>
      <c r="B29" s="109" t="s">
        <v>523</v>
      </c>
      <c r="C29" s="808">
        <f t="shared" si="0"/>
        <v>871908</v>
      </c>
      <c r="D29" s="808">
        <f t="shared" si="1"/>
        <v>1103260</v>
      </c>
      <c r="E29" s="809"/>
      <c r="F29" s="809"/>
      <c r="G29" s="809"/>
      <c r="H29" s="809"/>
      <c r="I29" s="809">
        <v>871908</v>
      </c>
      <c r="J29" s="809">
        <v>1103260</v>
      </c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11"/>
      <c r="Z29" s="812"/>
    </row>
    <row r="30" spans="1:26" s="75" customFormat="1" ht="15" customHeight="1">
      <c r="A30" s="110" t="s">
        <v>257</v>
      </c>
      <c r="B30" s="109" t="s">
        <v>297</v>
      </c>
      <c r="C30" s="808">
        <f t="shared" si="0"/>
        <v>9396000</v>
      </c>
      <c r="D30" s="808">
        <f t="shared" si="1"/>
        <v>11794504</v>
      </c>
      <c r="E30" s="809">
        <v>9396000</v>
      </c>
      <c r="F30" s="809">
        <v>11055300</v>
      </c>
      <c r="G30" s="809"/>
      <c r="H30" s="809"/>
      <c r="I30" s="809"/>
      <c r="J30" s="809">
        <v>739204</v>
      </c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11"/>
      <c r="Z30" s="812"/>
    </row>
    <row r="31" spans="1:26" s="75" customFormat="1" ht="15" customHeight="1">
      <c r="A31" s="110" t="s">
        <v>257</v>
      </c>
      <c r="B31" s="109" t="s">
        <v>298</v>
      </c>
      <c r="C31" s="808">
        <f t="shared" si="0"/>
        <v>481200</v>
      </c>
      <c r="D31" s="808">
        <f t="shared" si="1"/>
        <v>481200</v>
      </c>
      <c r="E31" s="809">
        <v>481200</v>
      </c>
      <c r="F31" s="809">
        <v>481200</v>
      </c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  <c r="Y31" s="811"/>
      <c r="Z31" s="812"/>
    </row>
    <row r="32" spans="1:26" s="75" customFormat="1" ht="15" customHeight="1">
      <c r="A32" s="433" t="s">
        <v>257</v>
      </c>
      <c r="B32" s="109" t="s">
        <v>538</v>
      </c>
      <c r="C32" s="808">
        <f t="shared" si="0"/>
        <v>3812223</v>
      </c>
      <c r="D32" s="808">
        <f t="shared" si="1"/>
        <v>9658362</v>
      </c>
      <c r="E32" s="809"/>
      <c r="F32" s="809"/>
      <c r="G32" s="809"/>
      <c r="H32" s="809"/>
      <c r="I32" s="809">
        <v>3812223</v>
      </c>
      <c r="J32" s="809">
        <v>9658362</v>
      </c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11"/>
      <c r="Z32" s="812"/>
    </row>
    <row r="33" spans="1:26" s="75" customFormat="1" ht="15" customHeight="1">
      <c r="A33" s="110" t="s">
        <v>257</v>
      </c>
      <c r="B33" s="109" t="s">
        <v>533</v>
      </c>
      <c r="C33" s="808">
        <f t="shared" si="0"/>
        <v>0</v>
      </c>
      <c r="D33" s="808">
        <f t="shared" si="1"/>
        <v>32</v>
      </c>
      <c r="E33" s="809"/>
      <c r="F33" s="809"/>
      <c r="G33" s="809"/>
      <c r="H33" s="809"/>
      <c r="I33" s="809"/>
      <c r="J33" s="809">
        <v>32</v>
      </c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11"/>
      <c r="Z33" s="812"/>
    </row>
    <row r="34" spans="1:26" s="75" customFormat="1" ht="15" customHeight="1">
      <c r="A34" s="110" t="s">
        <v>257</v>
      </c>
      <c r="B34" s="109" t="s">
        <v>534</v>
      </c>
      <c r="C34" s="808">
        <f t="shared" si="0"/>
        <v>3595000</v>
      </c>
      <c r="D34" s="808">
        <f t="shared" si="1"/>
        <v>3638849</v>
      </c>
      <c r="E34" s="809"/>
      <c r="F34" s="809"/>
      <c r="G34" s="809"/>
      <c r="H34" s="809"/>
      <c r="I34" s="809">
        <v>3595000</v>
      </c>
      <c r="J34" s="809">
        <v>3638849</v>
      </c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11"/>
      <c r="Z34" s="812"/>
    </row>
    <row r="35" spans="1:26" s="75" customFormat="1" ht="15" customHeight="1">
      <c r="A35" s="110" t="s">
        <v>404</v>
      </c>
      <c r="B35" s="109" t="s">
        <v>915</v>
      </c>
      <c r="C35" s="808">
        <f t="shared" si="0"/>
        <v>0</v>
      </c>
      <c r="D35" s="808">
        <f t="shared" si="1"/>
        <v>100000</v>
      </c>
      <c r="E35" s="809"/>
      <c r="F35" s="809"/>
      <c r="G35" s="809"/>
      <c r="H35" s="809"/>
      <c r="I35" s="809"/>
      <c r="J35" s="809">
        <v>100000</v>
      </c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11"/>
      <c r="Z35" s="812"/>
    </row>
    <row r="36" spans="1:26" s="75" customFormat="1" ht="15" customHeight="1">
      <c r="A36" s="433" t="s">
        <v>257</v>
      </c>
      <c r="B36" s="109" t="s">
        <v>680</v>
      </c>
      <c r="C36" s="808">
        <f t="shared" si="0"/>
        <v>13475747</v>
      </c>
      <c r="D36" s="808">
        <f t="shared" si="1"/>
        <v>12310839</v>
      </c>
      <c r="E36" s="809">
        <v>13475747</v>
      </c>
      <c r="F36" s="809">
        <v>12310839</v>
      </c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11"/>
      <c r="Z36" s="812"/>
    </row>
    <row r="37" spans="1:26" s="75" customFormat="1" ht="15" customHeight="1">
      <c r="A37" s="433" t="s">
        <v>257</v>
      </c>
      <c r="B37" s="109" t="s">
        <v>913</v>
      </c>
      <c r="C37" s="808">
        <f t="shared" si="0"/>
        <v>0</v>
      </c>
      <c r="D37" s="808">
        <f t="shared" si="1"/>
        <v>422621</v>
      </c>
      <c r="E37" s="809"/>
      <c r="F37" s="809">
        <v>422621</v>
      </c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10"/>
      <c r="W37" s="810"/>
      <c r="X37" s="810"/>
      <c r="Y37" s="811"/>
      <c r="Z37" s="812"/>
    </row>
    <row r="38" spans="1:26" s="75" customFormat="1" ht="15" customHeight="1">
      <c r="A38" s="433" t="s">
        <v>257</v>
      </c>
      <c r="B38" s="435" t="s">
        <v>916</v>
      </c>
      <c r="C38" s="912">
        <f t="shared" si="0"/>
        <v>0</v>
      </c>
      <c r="D38" s="808">
        <f t="shared" si="1"/>
        <v>400144000</v>
      </c>
      <c r="E38" s="809"/>
      <c r="F38" s="809"/>
      <c r="G38" s="809"/>
      <c r="H38" s="809"/>
      <c r="I38" s="809"/>
      <c r="J38" s="809">
        <v>144000</v>
      </c>
      <c r="K38" s="809"/>
      <c r="L38" s="809"/>
      <c r="M38" s="809"/>
      <c r="N38" s="809"/>
      <c r="O38" s="809"/>
      <c r="P38" s="809">
        <v>400000000</v>
      </c>
      <c r="Q38" s="809"/>
      <c r="R38" s="809"/>
      <c r="S38" s="809"/>
      <c r="T38" s="809"/>
      <c r="U38" s="809"/>
      <c r="V38" s="810"/>
      <c r="W38" s="810"/>
      <c r="X38" s="810"/>
      <c r="Y38" s="811"/>
      <c r="Z38" s="812"/>
    </row>
    <row r="39" spans="1:26" s="75" customFormat="1" ht="15" customHeight="1" hidden="1">
      <c r="A39" s="433" t="s">
        <v>257</v>
      </c>
      <c r="B39" s="435"/>
      <c r="C39" s="912">
        <f t="shared" si="0"/>
        <v>0</v>
      </c>
      <c r="D39" s="808">
        <f t="shared" si="1"/>
        <v>0</v>
      </c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10"/>
      <c r="W39" s="810"/>
      <c r="X39" s="810"/>
      <c r="Y39" s="811"/>
      <c r="Z39" s="812"/>
    </row>
    <row r="40" spans="1:26" s="75" customFormat="1" ht="15" customHeight="1" hidden="1">
      <c r="A40" s="433" t="s">
        <v>257</v>
      </c>
      <c r="B40" s="435"/>
      <c r="C40" s="912">
        <f t="shared" si="0"/>
        <v>0</v>
      </c>
      <c r="D40" s="808">
        <f t="shared" si="1"/>
        <v>0</v>
      </c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10"/>
      <c r="W40" s="810"/>
      <c r="X40" s="810"/>
      <c r="Y40" s="811"/>
      <c r="Z40" s="812"/>
    </row>
    <row r="41" spans="1:26" s="75" customFormat="1" ht="15" customHeight="1" hidden="1">
      <c r="A41" s="433" t="s">
        <v>257</v>
      </c>
      <c r="B41" s="435"/>
      <c r="C41" s="912">
        <f t="shared" si="0"/>
        <v>0</v>
      </c>
      <c r="D41" s="808">
        <f t="shared" si="1"/>
        <v>0</v>
      </c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10"/>
      <c r="W41" s="810"/>
      <c r="X41" s="810"/>
      <c r="Y41" s="811"/>
      <c r="Z41" s="812"/>
    </row>
    <row r="42" spans="1:26" s="75" customFormat="1" ht="15" customHeight="1" hidden="1">
      <c r="A42" s="433" t="s">
        <v>257</v>
      </c>
      <c r="B42" s="435"/>
      <c r="C42" s="912">
        <f t="shared" si="0"/>
        <v>0</v>
      </c>
      <c r="D42" s="808">
        <f t="shared" si="1"/>
        <v>0</v>
      </c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10"/>
      <c r="W42" s="810"/>
      <c r="X42" s="810"/>
      <c r="Y42" s="811"/>
      <c r="Z42" s="812"/>
    </row>
    <row r="43" spans="1:26" s="75" customFormat="1" ht="15" customHeight="1">
      <c r="A43" s="433" t="s">
        <v>257</v>
      </c>
      <c r="B43" s="511" t="s">
        <v>280</v>
      </c>
      <c r="C43" s="808">
        <f t="shared" si="0"/>
        <v>42428894</v>
      </c>
      <c r="D43" s="808">
        <f t="shared" si="1"/>
        <v>48118145</v>
      </c>
      <c r="E43" s="809"/>
      <c r="F43" s="809"/>
      <c r="G43" s="809">
        <v>4485480</v>
      </c>
      <c r="H43" s="809">
        <v>4934840</v>
      </c>
      <c r="I43" s="809">
        <v>37943414</v>
      </c>
      <c r="J43" s="809">
        <v>42639195</v>
      </c>
      <c r="K43" s="809"/>
      <c r="L43" s="809"/>
      <c r="M43" s="809"/>
      <c r="N43" s="809"/>
      <c r="O43" s="809"/>
      <c r="P43" s="809"/>
      <c r="Q43" s="809"/>
      <c r="R43" s="809">
        <v>544110</v>
      </c>
      <c r="S43" s="809"/>
      <c r="T43" s="809"/>
      <c r="U43" s="809"/>
      <c r="V43" s="810"/>
      <c r="W43" s="810"/>
      <c r="X43" s="810"/>
      <c r="Y43" s="811"/>
      <c r="Z43" s="812"/>
    </row>
    <row r="44" spans="1:26" s="75" customFormat="1" ht="15" customHeight="1">
      <c r="A44" s="433" t="s">
        <v>257</v>
      </c>
      <c r="B44" s="109" t="s">
        <v>882</v>
      </c>
      <c r="C44" s="808">
        <f t="shared" si="0"/>
        <v>0</v>
      </c>
      <c r="D44" s="808">
        <f t="shared" si="1"/>
        <v>60959896</v>
      </c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>
        <v>60959896</v>
      </c>
      <c r="U44" s="809"/>
      <c r="V44" s="810"/>
      <c r="W44" s="810"/>
      <c r="X44" s="810"/>
      <c r="Y44" s="811"/>
      <c r="Z44" s="812"/>
    </row>
    <row r="45" spans="1:26" s="75" customFormat="1" ht="15" customHeight="1">
      <c r="A45" s="433" t="s">
        <v>257</v>
      </c>
      <c r="B45" s="109" t="s">
        <v>540</v>
      </c>
      <c r="C45" s="808">
        <f t="shared" si="0"/>
        <v>342500000</v>
      </c>
      <c r="D45" s="808">
        <f t="shared" si="1"/>
        <v>516961165</v>
      </c>
      <c r="E45" s="809"/>
      <c r="F45" s="809"/>
      <c r="G45" s="809">
        <v>342500000</v>
      </c>
      <c r="H45" s="809">
        <v>516961165</v>
      </c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10"/>
      <c r="W45" s="810"/>
      <c r="X45" s="810"/>
      <c r="Y45" s="811"/>
      <c r="Z45" s="812"/>
    </row>
    <row r="46" spans="1:26" s="75" customFormat="1" ht="15" customHeight="1">
      <c r="A46" s="433" t="s">
        <v>257</v>
      </c>
      <c r="B46" s="109" t="s">
        <v>285</v>
      </c>
      <c r="C46" s="808">
        <f t="shared" si="0"/>
        <v>3000000</v>
      </c>
      <c r="D46" s="808">
        <f t="shared" si="1"/>
        <v>3000000</v>
      </c>
      <c r="E46" s="809">
        <v>3000000</v>
      </c>
      <c r="F46" s="809">
        <v>3000000</v>
      </c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10"/>
      <c r="W46" s="810"/>
      <c r="X46" s="810"/>
      <c r="Y46" s="811"/>
      <c r="Z46" s="812"/>
    </row>
    <row r="47" spans="1:26" s="75" customFormat="1" ht="15" customHeight="1">
      <c r="A47" s="110" t="s">
        <v>257</v>
      </c>
      <c r="B47" s="109" t="s">
        <v>128</v>
      </c>
      <c r="C47" s="808">
        <f t="shared" si="0"/>
        <v>19013329</v>
      </c>
      <c r="D47" s="808">
        <f t="shared" si="1"/>
        <v>11625043</v>
      </c>
      <c r="E47" s="809"/>
      <c r="F47" s="809"/>
      <c r="G47" s="809"/>
      <c r="H47" s="809"/>
      <c r="I47" s="809">
        <v>19013329</v>
      </c>
      <c r="J47" s="809">
        <v>11625043</v>
      </c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10"/>
      <c r="W47" s="810"/>
      <c r="X47" s="810"/>
      <c r="Y47" s="811"/>
      <c r="Z47" s="811"/>
    </row>
    <row r="48" spans="1:26" s="75" customFormat="1" ht="15" customHeight="1">
      <c r="A48" s="110" t="s">
        <v>257</v>
      </c>
      <c r="B48" s="109" t="s">
        <v>493</v>
      </c>
      <c r="C48" s="808">
        <f t="shared" si="0"/>
        <v>0</v>
      </c>
      <c r="D48" s="808">
        <f t="shared" si="1"/>
        <v>14571914</v>
      </c>
      <c r="E48" s="809"/>
      <c r="F48" s="809">
        <v>14571914</v>
      </c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10"/>
      <c r="W48" s="810"/>
      <c r="X48" s="810"/>
      <c r="Y48" s="811"/>
      <c r="Z48" s="812"/>
    </row>
    <row r="49" spans="1:26" s="75" customFormat="1" ht="16.5" customHeight="1">
      <c r="A49" s="110" t="s">
        <v>257</v>
      </c>
      <c r="B49" s="109" t="s">
        <v>783</v>
      </c>
      <c r="C49" s="808">
        <f t="shared" si="0"/>
        <v>247349550</v>
      </c>
      <c r="D49" s="808">
        <f t="shared" si="1"/>
        <v>199357050</v>
      </c>
      <c r="E49" s="809"/>
      <c r="F49" s="809"/>
      <c r="G49" s="809"/>
      <c r="H49" s="809"/>
      <c r="I49" s="809">
        <v>47992500</v>
      </c>
      <c r="J49" s="809">
        <v>0</v>
      </c>
      <c r="K49" s="809"/>
      <c r="L49" s="809"/>
      <c r="M49" s="809"/>
      <c r="N49" s="809"/>
      <c r="O49" s="809">
        <v>199357050</v>
      </c>
      <c r="P49" s="809">
        <v>199357050</v>
      </c>
      <c r="Q49" s="809"/>
      <c r="R49" s="809"/>
      <c r="S49" s="809"/>
      <c r="T49" s="809"/>
      <c r="U49" s="809"/>
      <c r="V49" s="810"/>
      <c r="W49" s="810"/>
      <c r="X49" s="810"/>
      <c r="Y49" s="811"/>
      <c r="Z49" s="812"/>
    </row>
    <row r="50" spans="1:26" s="75" customFormat="1" ht="11.25">
      <c r="A50" s="440" t="s">
        <v>257</v>
      </c>
      <c r="B50" s="109" t="s">
        <v>784</v>
      </c>
      <c r="C50" s="808">
        <f t="shared" si="0"/>
        <v>1548538</v>
      </c>
      <c r="D50" s="808">
        <f t="shared" si="1"/>
        <v>0</v>
      </c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>
        <v>1548538</v>
      </c>
      <c r="P50" s="809">
        <v>0</v>
      </c>
      <c r="Q50" s="809"/>
      <c r="R50" s="809"/>
      <c r="S50" s="809"/>
      <c r="T50" s="809"/>
      <c r="U50" s="809"/>
      <c r="V50" s="810"/>
      <c r="W50" s="810"/>
      <c r="X50" s="810"/>
      <c r="Y50" s="811"/>
      <c r="Z50" s="812"/>
    </row>
    <row r="51" spans="1:26" s="75" customFormat="1" ht="15" customHeight="1">
      <c r="A51" s="110" t="s">
        <v>257</v>
      </c>
      <c r="B51" s="109" t="s">
        <v>785</v>
      </c>
      <c r="C51" s="808">
        <f t="shared" si="0"/>
        <v>177513240</v>
      </c>
      <c r="D51" s="808">
        <f t="shared" si="1"/>
        <v>228462286</v>
      </c>
      <c r="E51" s="809"/>
      <c r="F51" s="809"/>
      <c r="G51" s="809"/>
      <c r="H51" s="809"/>
      <c r="I51" s="809">
        <v>177513240</v>
      </c>
      <c r="J51" s="809">
        <v>123151276</v>
      </c>
      <c r="K51" s="809"/>
      <c r="L51" s="809"/>
      <c r="M51" s="809"/>
      <c r="N51" s="809"/>
      <c r="O51" s="809"/>
      <c r="P51" s="809">
        <v>105311010</v>
      </c>
      <c r="Q51" s="809"/>
      <c r="R51" s="809"/>
      <c r="S51" s="809"/>
      <c r="T51" s="809"/>
      <c r="U51" s="809"/>
      <c r="V51" s="810"/>
      <c r="W51" s="810"/>
      <c r="X51" s="810"/>
      <c r="Y51" s="811"/>
      <c r="Z51" s="812"/>
    </row>
    <row r="52" spans="1:26" s="75" customFormat="1" ht="19.5" customHeight="1">
      <c r="A52" s="110" t="s">
        <v>257</v>
      </c>
      <c r="B52" s="1142" t="s">
        <v>857</v>
      </c>
      <c r="C52" s="912">
        <f t="shared" si="0"/>
        <v>0</v>
      </c>
      <c r="D52" s="808">
        <f t="shared" si="1"/>
        <v>228785046</v>
      </c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>
        <v>228785046</v>
      </c>
      <c r="Q52" s="809"/>
      <c r="R52" s="809"/>
      <c r="S52" s="809"/>
      <c r="T52" s="809"/>
      <c r="U52" s="809"/>
      <c r="V52" s="810"/>
      <c r="W52" s="810"/>
      <c r="X52" s="810"/>
      <c r="Y52" s="811"/>
      <c r="Z52" s="812"/>
    </row>
    <row r="53" spans="1:26" s="75" customFormat="1" ht="21" customHeight="1">
      <c r="A53" s="110" t="s">
        <v>257</v>
      </c>
      <c r="B53" s="1142" t="s">
        <v>880</v>
      </c>
      <c r="C53" s="912">
        <f t="shared" si="0"/>
        <v>0</v>
      </c>
      <c r="D53" s="808">
        <f t="shared" si="1"/>
        <v>140042600</v>
      </c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>
        <f>149992600-9950000</f>
        <v>140042600</v>
      </c>
      <c r="Q53" s="809"/>
      <c r="R53" s="809"/>
      <c r="S53" s="809"/>
      <c r="T53" s="809"/>
      <c r="U53" s="809"/>
      <c r="V53" s="810"/>
      <c r="W53" s="810"/>
      <c r="X53" s="810"/>
      <c r="Y53" s="811"/>
      <c r="Z53" s="812"/>
    </row>
    <row r="54" spans="1:26" s="75" customFormat="1" ht="15" customHeight="1" hidden="1">
      <c r="A54" s="110" t="s">
        <v>257</v>
      </c>
      <c r="B54" s="109"/>
      <c r="C54" s="808">
        <f t="shared" si="0"/>
        <v>0</v>
      </c>
      <c r="D54" s="808">
        <f t="shared" si="1"/>
        <v>0</v>
      </c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10"/>
      <c r="W54" s="810"/>
      <c r="X54" s="810"/>
      <c r="Y54" s="811"/>
      <c r="Z54" s="812"/>
    </row>
    <row r="55" spans="1:26" s="75" customFormat="1" ht="15" customHeight="1">
      <c r="A55" s="110" t="s">
        <v>257</v>
      </c>
      <c r="B55" s="109" t="s">
        <v>912</v>
      </c>
      <c r="C55" s="912">
        <f t="shared" si="0"/>
        <v>0</v>
      </c>
      <c r="D55" s="808">
        <f t="shared" si="1"/>
        <v>566674</v>
      </c>
      <c r="E55" s="809"/>
      <c r="F55" s="809">
        <v>566674</v>
      </c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11"/>
      <c r="Z55" s="812"/>
    </row>
    <row r="56" spans="1:26" s="75" customFormat="1" ht="15" customHeight="1" hidden="1">
      <c r="A56" s="110" t="s">
        <v>257</v>
      </c>
      <c r="B56" s="512" t="s">
        <v>374</v>
      </c>
      <c r="C56" s="808">
        <f t="shared" si="0"/>
        <v>0</v>
      </c>
      <c r="D56" s="808">
        <f t="shared" si="1"/>
        <v>0</v>
      </c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11"/>
      <c r="Z56" s="812"/>
    </row>
    <row r="57" spans="1:26" s="75" customFormat="1" ht="15" customHeight="1">
      <c r="A57" s="110" t="s">
        <v>404</v>
      </c>
      <c r="B57" s="109" t="s">
        <v>537</v>
      </c>
      <c r="C57" s="808">
        <f t="shared" si="0"/>
        <v>0</v>
      </c>
      <c r="D57" s="808">
        <f t="shared" si="1"/>
        <v>400000</v>
      </c>
      <c r="E57" s="809"/>
      <c r="F57" s="809"/>
      <c r="G57" s="809"/>
      <c r="H57" s="809"/>
      <c r="I57" s="809"/>
      <c r="J57" s="809"/>
      <c r="K57" s="809"/>
      <c r="L57" s="809">
        <v>400000</v>
      </c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11"/>
      <c r="Z57" s="812"/>
    </row>
    <row r="58" spans="1:26" s="75" customFormat="1" ht="15" customHeight="1" thickBot="1">
      <c r="A58" s="265"/>
      <c r="B58" s="513"/>
      <c r="C58" s="813"/>
      <c r="D58" s="813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6"/>
      <c r="Z58" s="817"/>
    </row>
    <row r="59" spans="1:26" s="75" customFormat="1" ht="15" customHeight="1" thickBot="1">
      <c r="A59" s="1202" t="s">
        <v>71</v>
      </c>
      <c r="B59" s="1203"/>
      <c r="C59" s="818">
        <f aca="true" t="shared" si="2" ref="C59:Z59">SUM(C11:C57)</f>
        <v>4964118147</v>
      </c>
      <c r="D59" s="818">
        <f t="shared" si="2"/>
        <v>6321586518</v>
      </c>
      <c r="E59" s="1156">
        <f t="shared" si="2"/>
        <v>971376237</v>
      </c>
      <c r="F59" s="1156">
        <f t="shared" si="2"/>
        <v>1259870241</v>
      </c>
      <c r="G59" s="1156">
        <f t="shared" si="2"/>
        <v>346985480</v>
      </c>
      <c r="H59" s="1156">
        <f t="shared" si="2"/>
        <v>521902745</v>
      </c>
      <c r="I59" s="1156">
        <f t="shared" si="2"/>
        <v>364850842</v>
      </c>
      <c r="J59" s="1156">
        <f t="shared" si="2"/>
        <v>273187513</v>
      </c>
      <c r="K59" s="1156">
        <f t="shared" si="2"/>
        <v>0</v>
      </c>
      <c r="L59" s="1156">
        <f t="shared" si="2"/>
        <v>400000</v>
      </c>
      <c r="M59" s="1156">
        <f t="shared" si="2"/>
        <v>0</v>
      </c>
      <c r="N59" s="1156">
        <f t="shared" si="2"/>
        <v>0</v>
      </c>
      <c r="O59" s="1156">
        <f t="shared" si="2"/>
        <v>200905588</v>
      </c>
      <c r="P59" s="1156">
        <f t="shared" si="2"/>
        <v>1073495706</v>
      </c>
      <c r="Q59" s="1156">
        <f t="shared" si="2"/>
        <v>0</v>
      </c>
      <c r="R59" s="1156">
        <f t="shared" si="2"/>
        <v>544110</v>
      </c>
      <c r="S59" s="1156">
        <f t="shared" si="2"/>
        <v>0</v>
      </c>
      <c r="T59" s="1156">
        <f t="shared" si="2"/>
        <v>61002287</v>
      </c>
      <c r="U59" s="1156">
        <f t="shared" si="2"/>
        <v>3080000000</v>
      </c>
      <c r="V59" s="1156">
        <f t="shared" si="2"/>
        <v>3087683051</v>
      </c>
      <c r="W59" s="1156">
        <f t="shared" si="2"/>
        <v>0</v>
      </c>
      <c r="X59" s="1156">
        <f t="shared" si="2"/>
        <v>43500865</v>
      </c>
      <c r="Y59" s="818">
        <f t="shared" si="2"/>
        <v>0</v>
      </c>
      <c r="Z59" s="819">
        <f t="shared" si="2"/>
        <v>0</v>
      </c>
    </row>
    <row r="60" spans="1:26" s="75" customFormat="1" ht="13.5" customHeight="1">
      <c r="A60" s="303"/>
      <c r="B60" s="514"/>
      <c r="C60" s="820"/>
      <c r="D60" s="820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2"/>
      <c r="Z60" s="823"/>
    </row>
    <row r="61" spans="1:26" s="75" customFormat="1" ht="15" customHeight="1">
      <c r="A61" s="1204" t="s">
        <v>9</v>
      </c>
      <c r="B61" s="1205"/>
      <c r="C61" s="824">
        <f>C59-C63-C65</f>
        <v>4964118147</v>
      </c>
      <c r="D61" s="824">
        <f aca="true" t="shared" si="3" ref="D61:Z61">D59-D63-D65</f>
        <v>6321086518</v>
      </c>
      <c r="E61" s="824">
        <f t="shared" si="3"/>
        <v>971376237</v>
      </c>
      <c r="F61" s="824">
        <f t="shared" si="3"/>
        <v>1259870241</v>
      </c>
      <c r="G61" s="824">
        <f t="shared" si="3"/>
        <v>346985480</v>
      </c>
      <c r="H61" s="824">
        <f t="shared" si="3"/>
        <v>521902745</v>
      </c>
      <c r="I61" s="824">
        <f t="shared" si="3"/>
        <v>364850842</v>
      </c>
      <c r="J61" s="824">
        <f t="shared" si="3"/>
        <v>273087513</v>
      </c>
      <c r="K61" s="824">
        <f t="shared" si="3"/>
        <v>0</v>
      </c>
      <c r="L61" s="824">
        <f t="shared" si="3"/>
        <v>0</v>
      </c>
      <c r="M61" s="824">
        <f t="shared" si="3"/>
        <v>0</v>
      </c>
      <c r="N61" s="824">
        <f t="shared" si="3"/>
        <v>0</v>
      </c>
      <c r="O61" s="824">
        <f t="shared" si="3"/>
        <v>200905588</v>
      </c>
      <c r="P61" s="824">
        <f t="shared" si="3"/>
        <v>1073495706</v>
      </c>
      <c r="Q61" s="824">
        <f t="shared" si="3"/>
        <v>0</v>
      </c>
      <c r="R61" s="824">
        <f t="shared" si="3"/>
        <v>544110</v>
      </c>
      <c r="S61" s="824">
        <f t="shared" si="3"/>
        <v>0</v>
      </c>
      <c r="T61" s="824">
        <f t="shared" si="3"/>
        <v>61002287</v>
      </c>
      <c r="U61" s="824">
        <f t="shared" si="3"/>
        <v>3080000000</v>
      </c>
      <c r="V61" s="824">
        <f t="shared" si="3"/>
        <v>3087683051</v>
      </c>
      <c r="W61" s="824">
        <f t="shared" si="3"/>
        <v>0</v>
      </c>
      <c r="X61" s="824">
        <f t="shared" si="3"/>
        <v>43500865</v>
      </c>
      <c r="Y61" s="824">
        <f t="shared" si="3"/>
        <v>0</v>
      </c>
      <c r="Z61" s="824">
        <f t="shared" si="3"/>
        <v>0</v>
      </c>
    </row>
    <row r="62" spans="1:26" s="75" customFormat="1" ht="12" customHeight="1">
      <c r="A62" s="98"/>
      <c r="B62" s="515"/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26" s="75" customFormat="1" ht="15" customHeight="1">
      <c r="A63" s="1206" t="s">
        <v>403</v>
      </c>
      <c r="B63" s="1207"/>
      <c r="C63" s="825">
        <f aca="true" t="shared" si="4" ref="C63:I63">C12+C57+C35</f>
        <v>0</v>
      </c>
      <c r="D63" s="825">
        <f t="shared" si="4"/>
        <v>500000</v>
      </c>
      <c r="E63" s="825">
        <f t="shared" si="4"/>
        <v>0</v>
      </c>
      <c r="F63" s="825">
        <f t="shared" si="4"/>
        <v>0</v>
      </c>
      <c r="G63" s="825">
        <f t="shared" si="4"/>
        <v>0</v>
      </c>
      <c r="H63" s="825">
        <f t="shared" si="4"/>
        <v>0</v>
      </c>
      <c r="I63" s="825">
        <f t="shared" si="4"/>
        <v>0</v>
      </c>
      <c r="J63" s="825">
        <f>J12+J57+J35</f>
        <v>100000</v>
      </c>
      <c r="K63" s="825">
        <f aca="true" t="shared" si="5" ref="K63:Z63">K12+K57+K35</f>
        <v>0</v>
      </c>
      <c r="L63" s="825">
        <f t="shared" si="5"/>
        <v>400000</v>
      </c>
      <c r="M63" s="825">
        <f t="shared" si="5"/>
        <v>0</v>
      </c>
      <c r="N63" s="825">
        <f t="shared" si="5"/>
        <v>0</v>
      </c>
      <c r="O63" s="825">
        <f t="shared" si="5"/>
        <v>0</v>
      </c>
      <c r="P63" s="825">
        <f t="shared" si="5"/>
        <v>0</v>
      </c>
      <c r="Q63" s="825">
        <f t="shared" si="5"/>
        <v>0</v>
      </c>
      <c r="R63" s="825">
        <f t="shared" si="5"/>
        <v>0</v>
      </c>
      <c r="S63" s="825">
        <f t="shared" si="5"/>
        <v>0</v>
      </c>
      <c r="T63" s="825">
        <f t="shared" si="5"/>
        <v>0</v>
      </c>
      <c r="U63" s="825">
        <f t="shared" si="5"/>
        <v>0</v>
      </c>
      <c r="V63" s="825">
        <f t="shared" si="5"/>
        <v>0</v>
      </c>
      <c r="W63" s="825">
        <f t="shared" si="5"/>
        <v>0</v>
      </c>
      <c r="X63" s="825">
        <f t="shared" si="5"/>
        <v>0</v>
      </c>
      <c r="Y63" s="825">
        <f t="shared" si="5"/>
        <v>0</v>
      </c>
      <c r="Z63" s="825">
        <f t="shared" si="5"/>
        <v>0</v>
      </c>
    </row>
    <row r="64" spans="1:26" s="75" customFormat="1" ht="12" customHeight="1">
      <c r="A64" s="433"/>
      <c r="B64" s="440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7"/>
    </row>
    <row r="65" spans="1:26" s="75" customFormat="1" ht="15" customHeight="1" thickBot="1">
      <c r="A65" s="1198" t="s">
        <v>461</v>
      </c>
      <c r="B65" s="1199"/>
      <c r="C65" s="828">
        <v>0</v>
      </c>
      <c r="D65" s="828">
        <v>0</v>
      </c>
      <c r="E65" s="828">
        <v>0</v>
      </c>
      <c r="F65" s="828">
        <v>0</v>
      </c>
      <c r="G65" s="828">
        <v>0</v>
      </c>
      <c r="H65" s="828">
        <v>0</v>
      </c>
      <c r="I65" s="828">
        <v>0</v>
      </c>
      <c r="J65" s="828">
        <v>0</v>
      </c>
      <c r="K65" s="828">
        <v>0</v>
      </c>
      <c r="L65" s="828">
        <v>0</v>
      </c>
      <c r="M65" s="828">
        <v>0</v>
      </c>
      <c r="N65" s="828">
        <v>0</v>
      </c>
      <c r="O65" s="828">
        <v>0</v>
      </c>
      <c r="P65" s="828">
        <v>0</v>
      </c>
      <c r="Q65" s="828">
        <v>0</v>
      </c>
      <c r="R65" s="828">
        <v>0</v>
      </c>
      <c r="S65" s="828">
        <v>0</v>
      </c>
      <c r="T65" s="828">
        <v>0</v>
      </c>
      <c r="U65" s="828">
        <v>0</v>
      </c>
      <c r="V65" s="828">
        <v>0</v>
      </c>
      <c r="W65" s="828">
        <v>0</v>
      </c>
      <c r="X65" s="828">
        <v>0</v>
      </c>
      <c r="Y65" s="829">
        <v>0</v>
      </c>
      <c r="Z65" s="830">
        <v>0</v>
      </c>
    </row>
    <row r="66" spans="2:26" s="75" customFormat="1" ht="11.25">
      <c r="B66" s="516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</row>
    <row r="67" spans="2:26" s="75" customFormat="1" ht="11.25">
      <c r="B67" s="516"/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</row>
    <row r="68" spans="2:26" s="75" customFormat="1" ht="11.25" hidden="1">
      <c r="B68" s="516"/>
      <c r="C68" s="831">
        <f>C61+C63+C65</f>
        <v>4964118147</v>
      </c>
      <c r="D68" s="831">
        <f>D61+D63+D65</f>
        <v>6321586518</v>
      </c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</row>
    <row r="69" spans="3:26" ht="12.75" hidden="1">
      <c r="C69" s="832">
        <f>C59-C68</f>
        <v>0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3:26" ht="12.75"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3:26" ht="12.75">
      <c r="C71" s="192"/>
      <c r="D71" s="192"/>
      <c r="E71" s="192"/>
      <c r="F71" s="192"/>
      <c r="G71" s="192"/>
      <c r="H71" s="192"/>
      <c r="I71" s="192"/>
      <c r="J71" s="833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</row>
    <row r="72" spans="6:10" ht="12.75">
      <c r="F72" s="508"/>
      <c r="J72" s="175"/>
    </row>
    <row r="73" ht="12.75">
      <c r="J73" s="175"/>
    </row>
    <row r="74" ht="12.75">
      <c r="J74" s="175"/>
    </row>
  </sheetData>
  <sheetProtection/>
  <mergeCells count="22">
    <mergeCell ref="A4:Z4"/>
    <mergeCell ref="A6:B9"/>
    <mergeCell ref="Y7:Z8"/>
    <mergeCell ref="U6:Z6"/>
    <mergeCell ref="W7:X8"/>
    <mergeCell ref="K7:L8"/>
    <mergeCell ref="E6:N6"/>
    <mergeCell ref="O6:T6"/>
    <mergeCell ref="S7:T8"/>
    <mergeCell ref="C6:D8"/>
    <mergeCell ref="M7:N8"/>
    <mergeCell ref="O7:P8"/>
    <mergeCell ref="U7:V8"/>
    <mergeCell ref="Q7:R8"/>
    <mergeCell ref="G7:H8"/>
    <mergeCell ref="I7:J8"/>
    <mergeCell ref="A65:B65"/>
    <mergeCell ref="A10:B10"/>
    <mergeCell ref="A59:B59"/>
    <mergeCell ref="A61:B61"/>
    <mergeCell ref="A63:B63"/>
    <mergeCell ref="E7:F8"/>
  </mergeCells>
  <printOptions/>
  <pageMargins left="0.15748031496062992" right="0.15748031496062992" top="0.9448818897637796" bottom="0.15748031496062992" header="0.15748031496062992" footer="0.15748031496062992"/>
  <pageSetup fitToHeight="1" fitToWidth="1" horizontalDpi="600" verticalDpi="600" orientation="landscape" paperSize="8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32"/>
  <sheetViews>
    <sheetView zoomScalePageLayoutView="0" workbookViewId="0" topLeftCell="A49">
      <selection activeCell="T30" sqref="T30:T36"/>
    </sheetView>
  </sheetViews>
  <sheetFormatPr defaultColWidth="9.00390625" defaultRowHeight="12.75"/>
  <cols>
    <col min="1" max="1" width="10.375" style="342" customWidth="1"/>
    <col min="2" max="2" width="40.875" style="342" customWidth="1"/>
    <col min="3" max="4" width="10.625" style="342" customWidth="1"/>
    <col min="5" max="6" width="9.375" style="342" customWidth="1"/>
    <col min="7" max="8" width="8.625" style="342" customWidth="1"/>
    <col min="9" max="9" width="10.125" style="342" customWidth="1"/>
    <col min="10" max="12" width="9.375" style="342" customWidth="1"/>
    <col min="13" max="13" width="8.625" style="342" customWidth="1"/>
    <col min="14" max="14" width="7.75390625" style="342" customWidth="1"/>
    <col min="15" max="15" width="10.25390625" style="342" customWidth="1"/>
    <col min="16" max="16" width="9.375" style="342" customWidth="1"/>
    <col min="17" max="17" width="10.375" style="342" customWidth="1"/>
    <col min="18" max="18" width="11.00390625" style="342" customWidth="1"/>
    <col min="19" max="19" width="10.625" style="342" bestFit="1" customWidth="1"/>
    <col min="20" max="20" width="10.625" style="342" customWidth="1"/>
    <col min="21" max="21" width="8.375" style="342" bestFit="1" customWidth="1"/>
    <col min="22" max="22" width="9.25390625" style="342" customWidth="1"/>
    <col min="23" max="23" width="9.375" style="342" bestFit="1" customWidth="1"/>
    <col min="24" max="24" width="9.375" style="342" customWidth="1"/>
    <col min="25" max="25" width="8.625" style="342" bestFit="1" customWidth="1"/>
    <col min="26" max="26" width="8.625" style="342" customWidth="1"/>
    <col min="27" max="27" width="11.00390625" style="342" customWidth="1"/>
    <col min="28" max="28" width="10.625" style="342" customWidth="1"/>
    <col min="29" max="29" width="9.375" style="342" bestFit="1" customWidth="1"/>
    <col min="30" max="30" width="9.375" style="342" customWidth="1"/>
    <col min="31" max="31" width="8.875" style="342" customWidth="1"/>
    <col min="32" max="32" width="7.875" style="342" customWidth="1"/>
    <col min="33" max="33" width="8.375" style="342" bestFit="1" customWidth="1"/>
    <col min="34" max="36" width="7.875" style="342" customWidth="1"/>
    <col min="37" max="37" width="7.375" style="342" customWidth="1"/>
    <col min="38" max="39" width="7.875" style="342" customWidth="1"/>
    <col min="40" max="41" width="8.625" style="342" customWidth="1"/>
    <col min="42" max="16384" width="9.125" style="342" customWidth="1"/>
  </cols>
  <sheetData>
    <row r="1" spans="9:14" ht="12.75">
      <c r="I1" s="344" t="s">
        <v>456</v>
      </c>
      <c r="J1" s="432" t="str">
        <f>'bev-int'!B1</f>
        <v>melléklet a …/2024. (III.  .) önkormányzati rendelethez</v>
      </c>
      <c r="K1" s="432" t="str">
        <f>'bev-int'!B1</f>
        <v>melléklet a …/2024. (III.  .) önkormányzati rendelethez</v>
      </c>
      <c r="L1" s="432"/>
      <c r="M1" s="432"/>
      <c r="N1" s="432"/>
    </row>
    <row r="3" spans="1:41" ht="12.75">
      <c r="A3" s="1157" t="s">
        <v>714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  <c r="AD3" s="1237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</row>
    <row r="4" spans="2:40" ht="12.7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578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</row>
    <row r="5" spans="2:40" ht="12.75"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847" t="s">
        <v>705</v>
      </c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</row>
    <row r="6" spans="1:30" s="348" customFormat="1" ht="12.75" customHeight="1">
      <c r="A6" s="1236" t="s">
        <v>55</v>
      </c>
      <c r="B6" s="1236"/>
      <c r="C6" s="1236" t="s">
        <v>245</v>
      </c>
      <c r="D6" s="1236"/>
      <c r="E6" s="1239" t="s">
        <v>246</v>
      </c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 t="s">
        <v>129</v>
      </c>
      <c r="R6" s="1239"/>
      <c r="S6" s="1239"/>
      <c r="T6" s="1239"/>
      <c r="U6" s="1239"/>
      <c r="V6" s="1239"/>
      <c r="W6" s="1239"/>
      <c r="X6" s="1239"/>
      <c r="Y6" s="1239" t="s">
        <v>77</v>
      </c>
      <c r="Z6" s="1239"/>
      <c r="AA6" s="1239"/>
      <c r="AB6" s="1239"/>
      <c r="AC6" s="1238" t="s">
        <v>496</v>
      </c>
      <c r="AD6" s="1235"/>
    </row>
    <row r="7" spans="1:30" s="348" customFormat="1" ht="12.75" customHeight="1">
      <c r="A7" s="1236"/>
      <c r="B7" s="1236"/>
      <c r="C7" s="1236"/>
      <c r="D7" s="1236"/>
      <c r="E7" s="1235" t="s">
        <v>63</v>
      </c>
      <c r="F7" s="1235"/>
      <c r="G7" s="1235" t="s">
        <v>247</v>
      </c>
      <c r="H7" s="1235"/>
      <c r="I7" s="1235" t="s">
        <v>248</v>
      </c>
      <c r="J7" s="1235"/>
      <c r="K7" s="1235" t="s">
        <v>249</v>
      </c>
      <c r="L7" s="1235"/>
      <c r="M7" s="1235" t="s">
        <v>250</v>
      </c>
      <c r="N7" s="1235"/>
      <c r="O7" s="1235" t="s">
        <v>251</v>
      </c>
      <c r="P7" s="1235"/>
      <c r="Q7" s="1236" t="s">
        <v>252</v>
      </c>
      <c r="R7" s="1236"/>
      <c r="S7" s="1236" t="s">
        <v>253</v>
      </c>
      <c r="T7" s="1236"/>
      <c r="U7" s="1235" t="s">
        <v>35</v>
      </c>
      <c r="V7" s="1235"/>
      <c r="W7" s="1234" t="s">
        <v>254</v>
      </c>
      <c r="X7" s="1234"/>
      <c r="Y7" s="1233" t="s">
        <v>495</v>
      </c>
      <c r="Z7" s="1234"/>
      <c r="AA7" s="1235" t="s">
        <v>255</v>
      </c>
      <c r="AB7" s="1235"/>
      <c r="AC7" s="1235"/>
      <c r="AD7" s="1235"/>
    </row>
    <row r="8" spans="1:30" s="348" customFormat="1" ht="51" customHeight="1">
      <c r="A8" s="1236"/>
      <c r="B8" s="1236"/>
      <c r="C8" s="1236"/>
      <c r="D8" s="1236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6"/>
      <c r="R8" s="1236"/>
      <c r="S8" s="1236"/>
      <c r="T8" s="1236"/>
      <c r="U8" s="1235"/>
      <c r="V8" s="1235"/>
      <c r="W8" s="1234"/>
      <c r="X8" s="1234"/>
      <c r="Y8" s="1234"/>
      <c r="Z8" s="1234"/>
      <c r="AA8" s="1235"/>
      <c r="AB8" s="1235"/>
      <c r="AC8" s="1235"/>
      <c r="AD8" s="1235"/>
    </row>
    <row r="9" spans="1:30" s="349" customFormat="1" ht="18.75" customHeight="1" hidden="1">
      <c r="A9" s="1236"/>
      <c r="B9" s="1236"/>
      <c r="C9" s="436" t="s">
        <v>465</v>
      </c>
      <c r="D9" s="436" t="s">
        <v>466</v>
      </c>
      <c r="E9" s="436" t="s">
        <v>465</v>
      </c>
      <c r="F9" s="436" t="s">
        <v>466</v>
      </c>
      <c r="G9" s="436" t="s">
        <v>465</v>
      </c>
      <c r="H9" s="436" t="s">
        <v>466</v>
      </c>
      <c r="I9" s="436" t="s">
        <v>465</v>
      </c>
      <c r="J9" s="436" t="s">
        <v>466</v>
      </c>
      <c r="K9" s="436" t="s">
        <v>465</v>
      </c>
      <c r="L9" s="436" t="s">
        <v>466</v>
      </c>
      <c r="M9" s="436" t="s">
        <v>465</v>
      </c>
      <c r="N9" s="436" t="s">
        <v>466</v>
      </c>
      <c r="O9" s="436" t="s">
        <v>465</v>
      </c>
      <c r="P9" s="436" t="s">
        <v>466</v>
      </c>
      <c r="Q9" s="436" t="s">
        <v>465</v>
      </c>
      <c r="R9" s="436" t="s">
        <v>466</v>
      </c>
      <c r="S9" s="436" t="s">
        <v>465</v>
      </c>
      <c r="T9" s="436" t="s">
        <v>466</v>
      </c>
      <c r="U9" s="436" t="s">
        <v>465</v>
      </c>
      <c r="V9" s="436" t="s">
        <v>466</v>
      </c>
      <c r="W9" s="436" t="s">
        <v>465</v>
      </c>
      <c r="X9" s="436" t="s">
        <v>466</v>
      </c>
      <c r="Y9" s="436" t="s">
        <v>465</v>
      </c>
      <c r="Z9" s="436" t="s">
        <v>466</v>
      </c>
      <c r="AA9" s="436" t="s">
        <v>465</v>
      </c>
      <c r="AB9" s="436" t="s">
        <v>466</v>
      </c>
      <c r="AC9" s="436" t="s">
        <v>465</v>
      </c>
      <c r="AD9" s="436" t="s">
        <v>466</v>
      </c>
    </row>
    <row r="10" spans="1:35" s="348" customFormat="1" ht="15" customHeight="1">
      <c r="A10" s="437" t="s">
        <v>257</v>
      </c>
      <c r="B10" s="438" t="s">
        <v>256</v>
      </c>
      <c r="C10" s="834">
        <f>E10+G10+I10+K10+M10+O10+Q10+S10+U10+W10+Y10+AA10+AC10</f>
        <v>196149248</v>
      </c>
      <c r="D10" s="834">
        <f>F10+H10+J10+L10+N10+P10+R10+T10+V10+X10+Z10+AB10+AD10</f>
        <v>483776560</v>
      </c>
      <c r="E10" s="835">
        <v>35056094</v>
      </c>
      <c r="F10" s="840">
        <v>35362078</v>
      </c>
      <c r="G10" s="835">
        <v>4832486</v>
      </c>
      <c r="H10" s="840">
        <v>4479889</v>
      </c>
      <c r="I10" s="840">
        <v>53045265</v>
      </c>
      <c r="J10" s="840">
        <v>53704314</v>
      </c>
      <c r="K10" s="835"/>
      <c r="L10" s="835"/>
      <c r="M10" s="835"/>
      <c r="N10" s="835"/>
      <c r="O10" s="835">
        <v>36684403</v>
      </c>
      <c r="P10" s="840">
        <f>tart_!D8</f>
        <v>323699279</v>
      </c>
      <c r="Q10" s="835"/>
      <c r="R10" s="835"/>
      <c r="S10" s="835">
        <v>1431000</v>
      </c>
      <c r="T10" s="1155">
        <v>1431000</v>
      </c>
      <c r="U10" s="835"/>
      <c r="V10" s="835"/>
      <c r="W10" s="835">
        <v>65100000</v>
      </c>
      <c r="X10" s="840">
        <v>65100000</v>
      </c>
      <c r="Y10" s="840"/>
      <c r="Z10" s="840"/>
      <c r="AA10" s="840"/>
      <c r="AB10" s="835"/>
      <c r="AC10" s="835"/>
      <c r="AD10" s="835"/>
      <c r="AE10" s="836"/>
      <c r="AF10" s="836"/>
      <c r="AG10" s="350"/>
      <c r="AH10" s="350"/>
      <c r="AI10" s="350"/>
    </row>
    <row r="11" spans="1:35" s="348" customFormat="1" ht="15" customHeight="1">
      <c r="A11" s="437" t="s">
        <v>257</v>
      </c>
      <c r="B11" s="438" t="s">
        <v>258</v>
      </c>
      <c r="C11" s="834">
        <f>E11+G11+I11+K11+M11+O11+Q11+S11+U11+W11+Y11+AA11+AC11</f>
        <v>950000</v>
      </c>
      <c r="D11" s="834">
        <f>F11+H11+J11+L11+N11+P11+R11+T11+V11+X11+Z11+AB11+AD11</f>
        <v>2046043</v>
      </c>
      <c r="E11" s="835"/>
      <c r="F11" s="840"/>
      <c r="G11" s="835"/>
      <c r="H11" s="840"/>
      <c r="I11" s="840"/>
      <c r="J11" s="840">
        <v>153703</v>
      </c>
      <c r="K11" s="835"/>
      <c r="L11" s="835"/>
      <c r="M11" s="835"/>
      <c r="N11" s="835"/>
      <c r="O11" s="835"/>
      <c r="P11" s="835"/>
      <c r="Q11" s="840"/>
      <c r="R11" s="840">
        <v>442557</v>
      </c>
      <c r="S11" s="835">
        <v>950000</v>
      </c>
      <c r="T11" s="1155">
        <v>1449783</v>
      </c>
      <c r="U11" s="835"/>
      <c r="V11" s="835"/>
      <c r="W11" s="835"/>
      <c r="X11" s="840"/>
      <c r="Y11" s="840"/>
      <c r="Z11" s="840"/>
      <c r="AA11" s="840"/>
      <c r="AB11" s="835"/>
      <c r="AC11" s="835"/>
      <c r="AD11" s="835"/>
      <c r="AE11" s="836"/>
      <c r="AF11" s="836"/>
      <c r="AG11" s="350"/>
      <c r="AH11" s="350"/>
      <c r="AI11" s="350"/>
    </row>
    <row r="12" spans="1:35" s="348" customFormat="1" ht="14.25" customHeight="1">
      <c r="A12" s="437" t="s">
        <v>257</v>
      </c>
      <c r="B12" s="438" t="s">
        <v>259</v>
      </c>
      <c r="C12" s="834">
        <f aca="true" t="shared" si="0" ref="C12:C42">E12+G12+I12+K12+M12+O12+Q12+S12+U12+W12+Y12+AA12+AC12</f>
        <v>57129316</v>
      </c>
      <c r="D12" s="834">
        <f aca="true" t="shared" si="1" ref="D12:D46">F12+H12+J12+L12+N12+P12+R12+T12+V12+X12+Z12+AB12+AD12</f>
        <v>61979697</v>
      </c>
      <c r="E12" s="835"/>
      <c r="F12" s="840"/>
      <c r="G12" s="835"/>
      <c r="H12" s="840"/>
      <c r="I12" s="840">
        <v>21391180</v>
      </c>
      <c r="J12" s="840">
        <v>26241561</v>
      </c>
      <c r="K12" s="835"/>
      <c r="L12" s="835"/>
      <c r="M12" s="835"/>
      <c r="N12" s="835"/>
      <c r="O12" s="835"/>
      <c r="P12" s="835"/>
      <c r="Q12" s="840">
        <v>1138137</v>
      </c>
      <c r="R12" s="840">
        <v>1138137</v>
      </c>
      <c r="S12" s="835">
        <v>34599999</v>
      </c>
      <c r="T12" s="1155">
        <v>34599999</v>
      </c>
      <c r="U12" s="835"/>
      <c r="V12" s="835"/>
      <c r="W12" s="835"/>
      <c r="X12" s="840"/>
      <c r="Y12" s="840"/>
      <c r="Z12" s="840"/>
      <c r="AA12" s="840"/>
      <c r="AB12" s="835"/>
      <c r="AC12" s="835"/>
      <c r="AD12" s="835"/>
      <c r="AE12" s="836"/>
      <c r="AF12" s="836"/>
      <c r="AG12" s="350"/>
      <c r="AH12" s="350"/>
      <c r="AI12" s="350"/>
    </row>
    <row r="13" spans="1:35" s="348" customFormat="1" ht="15" customHeight="1">
      <c r="A13" s="437" t="s">
        <v>404</v>
      </c>
      <c r="B13" s="438" t="s">
        <v>260</v>
      </c>
      <c r="C13" s="834">
        <f t="shared" si="0"/>
        <v>970204</v>
      </c>
      <c r="D13" s="834">
        <f t="shared" si="1"/>
        <v>2935059</v>
      </c>
      <c r="E13" s="837">
        <v>500000</v>
      </c>
      <c r="F13" s="839">
        <v>603607</v>
      </c>
      <c r="G13" s="837">
        <v>209804</v>
      </c>
      <c r="H13" s="839">
        <v>209804</v>
      </c>
      <c r="I13" s="840">
        <v>260400</v>
      </c>
      <c r="J13" s="840">
        <v>2080685</v>
      </c>
      <c r="K13" s="837"/>
      <c r="L13" s="839"/>
      <c r="M13" s="837"/>
      <c r="N13" s="837"/>
      <c r="O13" s="837"/>
      <c r="P13" s="837"/>
      <c r="Q13" s="839"/>
      <c r="R13" s="839"/>
      <c r="S13" s="837"/>
      <c r="T13" s="1154">
        <v>40963</v>
      </c>
      <c r="U13" s="837"/>
      <c r="V13" s="837"/>
      <c r="W13" s="837"/>
      <c r="X13" s="839"/>
      <c r="Y13" s="839"/>
      <c r="Z13" s="839"/>
      <c r="AA13" s="840"/>
      <c r="AB13" s="835"/>
      <c r="AC13" s="835"/>
      <c r="AD13" s="835"/>
      <c r="AE13" s="836"/>
      <c r="AF13" s="836"/>
      <c r="AG13" s="350"/>
      <c r="AH13" s="350"/>
      <c r="AI13" s="350"/>
    </row>
    <row r="14" spans="1:35" s="348" customFormat="1" ht="15" customHeight="1">
      <c r="A14" s="437" t="s">
        <v>257</v>
      </c>
      <c r="B14" s="109" t="s">
        <v>556</v>
      </c>
      <c r="C14" s="834">
        <f t="shared" si="0"/>
        <v>30910375</v>
      </c>
      <c r="D14" s="834">
        <f t="shared" si="1"/>
        <v>33798489</v>
      </c>
      <c r="E14" s="835"/>
      <c r="F14" s="840"/>
      <c r="G14" s="835"/>
      <c r="H14" s="840"/>
      <c r="I14" s="840">
        <v>11860375</v>
      </c>
      <c r="J14" s="840">
        <v>14748489</v>
      </c>
      <c r="K14" s="835"/>
      <c r="L14" s="840"/>
      <c r="M14" s="835"/>
      <c r="N14" s="835"/>
      <c r="O14" s="835"/>
      <c r="P14" s="835"/>
      <c r="Q14" s="840">
        <v>19050000</v>
      </c>
      <c r="R14" s="840">
        <v>19050000</v>
      </c>
      <c r="S14" s="835"/>
      <c r="T14" s="835"/>
      <c r="U14" s="835"/>
      <c r="V14" s="835"/>
      <c r="W14" s="835"/>
      <c r="X14" s="840"/>
      <c r="Y14" s="840"/>
      <c r="Z14" s="840"/>
      <c r="AA14" s="840"/>
      <c r="AB14" s="835"/>
      <c r="AC14" s="835"/>
      <c r="AD14" s="835"/>
      <c r="AE14" s="836"/>
      <c r="AF14" s="836"/>
      <c r="AG14" s="350"/>
      <c r="AH14" s="350"/>
      <c r="AI14" s="350"/>
    </row>
    <row r="15" spans="1:35" s="348" customFormat="1" ht="15" customHeight="1">
      <c r="A15" s="437" t="s">
        <v>257</v>
      </c>
      <c r="B15" s="434" t="s">
        <v>557</v>
      </c>
      <c r="C15" s="834">
        <f t="shared" si="0"/>
        <v>53999730</v>
      </c>
      <c r="D15" s="834">
        <f t="shared" si="1"/>
        <v>42564190</v>
      </c>
      <c r="E15" s="837"/>
      <c r="F15" s="839"/>
      <c r="G15" s="837"/>
      <c r="H15" s="839"/>
      <c r="I15" s="839"/>
      <c r="J15" s="839"/>
      <c r="K15" s="837">
        <v>16278000</v>
      </c>
      <c r="L15" s="839">
        <v>4360111</v>
      </c>
      <c r="M15" s="837"/>
      <c r="N15" s="837"/>
      <c r="O15" s="837"/>
      <c r="P15" s="837"/>
      <c r="Q15" s="837"/>
      <c r="R15" s="839"/>
      <c r="S15" s="837"/>
      <c r="T15" s="837"/>
      <c r="U15" s="837"/>
      <c r="V15" s="837"/>
      <c r="W15" s="837"/>
      <c r="X15" s="839"/>
      <c r="Y15" s="839">
        <v>37721730</v>
      </c>
      <c r="Z15" s="839">
        <v>38204079</v>
      </c>
      <c r="AA15" s="840"/>
      <c r="AB15" s="835"/>
      <c r="AC15" s="835"/>
      <c r="AD15" s="835"/>
      <c r="AE15" s="836"/>
      <c r="AF15" s="836"/>
      <c r="AG15" s="836"/>
      <c r="AH15" s="350"/>
      <c r="AI15" s="350"/>
    </row>
    <row r="16" spans="1:35" s="348" customFormat="1" ht="15" customHeight="1">
      <c r="A16" s="437" t="s">
        <v>257</v>
      </c>
      <c r="B16" s="434" t="s">
        <v>679</v>
      </c>
      <c r="C16" s="834">
        <f t="shared" si="0"/>
        <v>48434073</v>
      </c>
      <c r="D16" s="834">
        <f t="shared" si="1"/>
        <v>48434073</v>
      </c>
      <c r="E16" s="837"/>
      <c r="F16" s="839"/>
      <c r="G16" s="837"/>
      <c r="H16" s="839"/>
      <c r="I16" s="839"/>
      <c r="J16" s="839"/>
      <c r="K16" s="837">
        <v>48434073</v>
      </c>
      <c r="L16" s="839">
        <v>48434073</v>
      </c>
      <c r="M16" s="837"/>
      <c r="N16" s="837"/>
      <c r="O16" s="837"/>
      <c r="P16" s="837"/>
      <c r="Q16" s="837"/>
      <c r="R16" s="839"/>
      <c r="S16" s="837"/>
      <c r="T16" s="837"/>
      <c r="U16" s="837"/>
      <c r="V16" s="837"/>
      <c r="W16" s="837"/>
      <c r="X16" s="839"/>
      <c r="Y16" s="839"/>
      <c r="Z16" s="839"/>
      <c r="AA16" s="840"/>
      <c r="AB16" s="835"/>
      <c r="AC16" s="835"/>
      <c r="AD16" s="835"/>
      <c r="AE16" s="836"/>
      <c r="AF16" s="836"/>
      <c r="AG16" s="350"/>
      <c r="AH16" s="350"/>
      <c r="AI16" s="350"/>
    </row>
    <row r="17" spans="1:35" s="348" customFormat="1" ht="15" customHeight="1">
      <c r="A17" s="437" t="s">
        <v>257</v>
      </c>
      <c r="B17" s="438" t="s">
        <v>262</v>
      </c>
      <c r="C17" s="834">
        <f t="shared" si="0"/>
        <v>2363936</v>
      </c>
      <c r="D17" s="834">
        <f t="shared" si="1"/>
        <v>6100903</v>
      </c>
      <c r="E17" s="837"/>
      <c r="F17" s="839"/>
      <c r="G17" s="837"/>
      <c r="H17" s="839"/>
      <c r="I17" s="839">
        <v>2363936</v>
      </c>
      <c r="J17" s="839">
        <v>3561253</v>
      </c>
      <c r="K17" s="837"/>
      <c r="L17" s="839"/>
      <c r="M17" s="837"/>
      <c r="N17" s="837"/>
      <c r="O17" s="837"/>
      <c r="P17" s="837"/>
      <c r="Q17" s="839"/>
      <c r="R17" s="839"/>
      <c r="S17" s="837"/>
      <c r="T17" s="1154">
        <v>2539650</v>
      </c>
      <c r="U17" s="837"/>
      <c r="V17" s="837"/>
      <c r="W17" s="837"/>
      <c r="X17" s="839"/>
      <c r="Y17" s="839"/>
      <c r="Z17" s="839"/>
      <c r="AA17" s="840"/>
      <c r="AB17" s="835"/>
      <c r="AC17" s="835"/>
      <c r="AD17" s="835"/>
      <c r="AE17" s="836"/>
      <c r="AF17" s="836"/>
      <c r="AG17" s="350"/>
      <c r="AH17" s="350"/>
      <c r="AI17" s="350"/>
    </row>
    <row r="18" spans="1:35" s="348" customFormat="1" ht="15" customHeight="1">
      <c r="A18" s="439" t="s">
        <v>257</v>
      </c>
      <c r="B18" s="430" t="s">
        <v>553</v>
      </c>
      <c r="C18" s="834">
        <f t="shared" si="0"/>
        <v>5688563</v>
      </c>
      <c r="D18" s="834">
        <f t="shared" si="1"/>
        <v>13910431</v>
      </c>
      <c r="E18" s="835">
        <v>5347408</v>
      </c>
      <c r="F18" s="840">
        <v>12342208</v>
      </c>
      <c r="G18" s="835">
        <v>341155</v>
      </c>
      <c r="H18" s="840">
        <v>868128</v>
      </c>
      <c r="I18" s="840"/>
      <c r="J18" s="840">
        <v>700095</v>
      </c>
      <c r="K18" s="835"/>
      <c r="L18" s="840"/>
      <c r="M18" s="835"/>
      <c r="N18" s="835"/>
      <c r="O18" s="835"/>
      <c r="P18" s="835"/>
      <c r="Q18" s="840"/>
      <c r="R18" s="840"/>
      <c r="S18" s="835"/>
      <c r="T18" s="835"/>
      <c r="U18" s="835"/>
      <c r="V18" s="835"/>
      <c r="W18" s="835"/>
      <c r="X18" s="840"/>
      <c r="Y18" s="840"/>
      <c r="Z18" s="840"/>
      <c r="AA18" s="840"/>
      <c r="AB18" s="835"/>
      <c r="AC18" s="835"/>
      <c r="AD18" s="835"/>
      <c r="AE18" s="836"/>
      <c r="AF18" s="836"/>
      <c r="AG18" s="350"/>
      <c r="AH18" s="350"/>
      <c r="AI18" s="350"/>
    </row>
    <row r="19" spans="1:35" s="348" customFormat="1" ht="15" customHeight="1">
      <c r="A19" s="439" t="s">
        <v>257</v>
      </c>
      <c r="B19" s="430" t="s">
        <v>789</v>
      </c>
      <c r="C19" s="834">
        <f t="shared" si="0"/>
        <v>2681125</v>
      </c>
      <c r="D19" s="834">
        <f>F19+H19+J19+L19+N19+P19+R19+T19+V19+X19+Z19+AB19+AD19</f>
        <v>3444550</v>
      </c>
      <c r="E19" s="835"/>
      <c r="F19" s="840"/>
      <c r="G19" s="835"/>
      <c r="H19" s="840"/>
      <c r="I19" s="840">
        <v>1917700</v>
      </c>
      <c r="J19" s="840">
        <f>1917700+763425</f>
        <v>2681125</v>
      </c>
      <c r="K19" s="835"/>
      <c r="L19" s="840"/>
      <c r="M19" s="835"/>
      <c r="N19" s="835"/>
      <c r="O19" s="835"/>
      <c r="P19" s="835"/>
      <c r="Q19" s="840"/>
      <c r="R19" s="840"/>
      <c r="S19" s="835">
        <v>763425</v>
      </c>
      <c r="T19" s="1155">
        <v>763425</v>
      </c>
      <c r="U19" s="835"/>
      <c r="V19" s="835"/>
      <c r="W19" s="835"/>
      <c r="X19" s="840"/>
      <c r="Y19" s="840"/>
      <c r="Z19" s="840"/>
      <c r="AA19" s="840"/>
      <c r="AB19" s="835"/>
      <c r="AC19" s="835"/>
      <c r="AD19" s="835"/>
      <c r="AE19" s="836"/>
      <c r="AF19" s="836"/>
      <c r="AG19" s="350"/>
      <c r="AH19" s="350"/>
      <c r="AI19" s="350"/>
    </row>
    <row r="20" spans="1:35" s="348" customFormat="1" ht="15" customHeight="1">
      <c r="A20" s="437" t="s">
        <v>257</v>
      </c>
      <c r="B20" s="438" t="s">
        <v>263</v>
      </c>
      <c r="C20" s="834">
        <f t="shared" si="0"/>
        <v>25003400</v>
      </c>
      <c r="D20" s="834">
        <f t="shared" si="1"/>
        <v>27745678</v>
      </c>
      <c r="E20" s="835"/>
      <c r="F20" s="840"/>
      <c r="G20" s="835"/>
      <c r="H20" s="840"/>
      <c r="I20" s="840">
        <v>6803400</v>
      </c>
      <c r="J20" s="840">
        <v>8974178</v>
      </c>
      <c r="K20" s="835"/>
      <c r="L20" s="840"/>
      <c r="M20" s="834"/>
      <c r="N20" s="834"/>
      <c r="O20" s="834"/>
      <c r="P20" s="834"/>
      <c r="Q20" s="840">
        <v>17700000</v>
      </c>
      <c r="R20" s="840">
        <v>17700000</v>
      </c>
      <c r="S20" s="835">
        <v>500000</v>
      </c>
      <c r="T20" s="1155">
        <v>1071500</v>
      </c>
      <c r="U20" s="835"/>
      <c r="V20" s="835"/>
      <c r="W20" s="835"/>
      <c r="X20" s="840"/>
      <c r="Y20" s="840"/>
      <c r="Z20" s="840"/>
      <c r="AA20" s="840"/>
      <c r="AB20" s="835"/>
      <c r="AC20" s="835"/>
      <c r="AD20" s="835"/>
      <c r="AE20" s="836"/>
      <c r="AF20" s="836"/>
      <c r="AG20" s="350"/>
      <c r="AH20" s="350"/>
      <c r="AI20" s="350"/>
    </row>
    <row r="21" spans="1:32" s="348" customFormat="1" ht="15" customHeight="1">
      <c r="A21" s="437" t="s">
        <v>257</v>
      </c>
      <c r="B21" s="438" t="s">
        <v>264</v>
      </c>
      <c r="C21" s="834">
        <f t="shared" si="0"/>
        <v>153652588</v>
      </c>
      <c r="D21" s="834">
        <f t="shared" si="1"/>
        <v>160469988</v>
      </c>
      <c r="E21" s="835"/>
      <c r="F21" s="840"/>
      <c r="G21" s="835"/>
      <c r="H21" s="840"/>
      <c r="I21" s="840"/>
      <c r="J21" s="840"/>
      <c r="K21" s="835"/>
      <c r="L21" s="840">
        <v>6817400</v>
      </c>
      <c r="M21" s="835"/>
      <c r="N21" s="835"/>
      <c r="O21" s="835"/>
      <c r="P21" s="835"/>
      <c r="Q21" s="840">
        <v>153652588</v>
      </c>
      <c r="R21" s="840">
        <v>153652588</v>
      </c>
      <c r="S21" s="835"/>
      <c r="T21" s="835"/>
      <c r="U21" s="835"/>
      <c r="V21" s="835"/>
      <c r="W21" s="835"/>
      <c r="X21" s="840"/>
      <c r="Y21" s="840"/>
      <c r="Z21" s="840"/>
      <c r="AA21" s="840"/>
      <c r="AB21" s="835"/>
      <c r="AC21" s="835"/>
      <c r="AD21" s="835"/>
      <c r="AE21" s="838"/>
      <c r="AF21" s="838"/>
    </row>
    <row r="22" spans="1:35" s="348" customFormat="1" ht="15" customHeight="1">
      <c r="A22" s="437" t="s">
        <v>257</v>
      </c>
      <c r="B22" s="438" t="s">
        <v>265</v>
      </c>
      <c r="C22" s="834">
        <f t="shared" si="0"/>
        <v>19268633</v>
      </c>
      <c r="D22" s="834">
        <f t="shared" si="1"/>
        <v>22610633</v>
      </c>
      <c r="E22" s="837"/>
      <c r="F22" s="839"/>
      <c r="G22" s="837"/>
      <c r="H22" s="839"/>
      <c r="I22" s="839">
        <v>19268633</v>
      </c>
      <c r="J22" s="839">
        <v>22610633</v>
      </c>
      <c r="K22" s="837"/>
      <c r="L22" s="839"/>
      <c r="M22" s="837"/>
      <c r="N22" s="837"/>
      <c r="O22" s="837"/>
      <c r="P22" s="837"/>
      <c r="Q22" s="839"/>
      <c r="R22" s="839"/>
      <c r="S22" s="837"/>
      <c r="T22" s="837"/>
      <c r="U22" s="837"/>
      <c r="V22" s="837"/>
      <c r="W22" s="837"/>
      <c r="X22" s="837"/>
      <c r="Y22" s="837"/>
      <c r="Z22" s="837"/>
      <c r="AA22" s="835"/>
      <c r="AB22" s="835"/>
      <c r="AC22" s="835"/>
      <c r="AD22" s="835"/>
      <c r="AE22" s="836"/>
      <c r="AF22" s="836"/>
      <c r="AG22" s="350"/>
      <c r="AH22" s="350"/>
      <c r="AI22" s="350"/>
    </row>
    <row r="23" spans="1:35" s="348" customFormat="1" ht="15" customHeight="1">
      <c r="A23" s="437" t="s">
        <v>257</v>
      </c>
      <c r="B23" s="438" t="s">
        <v>326</v>
      </c>
      <c r="C23" s="834">
        <f t="shared" si="0"/>
        <v>10523252</v>
      </c>
      <c r="D23" s="834">
        <f>F23+H23+J23+L23+N23+P23+R23+T23+V23+X23+Z23+AB23+AD23</f>
        <v>10582908</v>
      </c>
      <c r="E23" s="837">
        <v>9160400</v>
      </c>
      <c r="F23" s="839">
        <v>9220056</v>
      </c>
      <c r="G23" s="837">
        <v>1235852</v>
      </c>
      <c r="H23" s="839">
        <v>1235852</v>
      </c>
      <c r="I23" s="839">
        <v>127000</v>
      </c>
      <c r="J23" s="839">
        <v>127000</v>
      </c>
      <c r="K23" s="837"/>
      <c r="L23" s="839"/>
      <c r="M23" s="837"/>
      <c r="N23" s="837"/>
      <c r="O23" s="837"/>
      <c r="P23" s="837"/>
      <c r="Q23" s="839"/>
      <c r="R23" s="839"/>
      <c r="S23" s="837"/>
      <c r="T23" s="837"/>
      <c r="U23" s="837"/>
      <c r="V23" s="837"/>
      <c r="W23" s="837"/>
      <c r="X23" s="837"/>
      <c r="Y23" s="837"/>
      <c r="Z23" s="837"/>
      <c r="AA23" s="835"/>
      <c r="AB23" s="835"/>
      <c r="AC23" s="835"/>
      <c r="AD23" s="835"/>
      <c r="AE23" s="836"/>
      <c r="AF23" s="836"/>
      <c r="AG23" s="350"/>
      <c r="AH23" s="350"/>
      <c r="AI23" s="350"/>
    </row>
    <row r="24" spans="1:35" s="348" customFormat="1" ht="15" customHeight="1">
      <c r="A24" s="437" t="s">
        <v>257</v>
      </c>
      <c r="B24" s="438" t="s">
        <v>288</v>
      </c>
      <c r="C24" s="834">
        <f t="shared" si="0"/>
        <v>44262304</v>
      </c>
      <c r="D24" s="834">
        <f t="shared" si="1"/>
        <v>40502645</v>
      </c>
      <c r="E24" s="837">
        <v>17174560</v>
      </c>
      <c r="F24" s="839">
        <v>14248315</v>
      </c>
      <c r="G24" s="837">
        <v>1949454</v>
      </c>
      <c r="H24" s="839">
        <v>1530812</v>
      </c>
      <c r="I24" s="839">
        <v>22838290</v>
      </c>
      <c r="J24" s="839">
        <v>22021286</v>
      </c>
      <c r="K24" s="837"/>
      <c r="L24" s="839"/>
      <c r="M24" s="839"/>
      <c r="N24" s="839"/>
      <c r="O24" s="837"/>
      <c r="P24" s="837"/>
      <c r="Q24" s="839">
        <v>2300000</v>
      </c>
      <c r="R24" s="839">
        <f>2385514+316718</f>
        <v>2702232</v>
      </c>
      <c r="S24" s="837"/>
      <c r="T24" s="837"/>
      <c r="U24" s="837"/>
      <c r="V24" s="837"/>
      <c r="W24" s="837"/>
      <c r="X24" s="837"/>
      <c r="Y24" s="837"/>
      <c r="Z24" s="837"/>
      <c r="AA24" s="835"/>
      <c r="AB24" s="835"/>
      <c r="AC24" s="835"/>
      <c r="AD24" s="835"/>
      <c r="AE24" s="836"/>
      <c r="AF24" s="836"/>
      <c r="AG24" s="350"/>
      <c r="AH24" s="350"/>
      <c r="AI24" s="350"/>
    </row>
    <row r="25" spans="1:35" s="348" customFormat="1" ht="15" customHeight="1">
      <c r="A25" s="437" t="s">
        <v>257</v>
      </c>
      <c r="B25" s="438" t="s">
        <v>289</v>
      </c>
      <c r="C25" s="834">
        <f t="shared" si="0"/>
        <v>13036210</v>
      </c>
      <c r="D25" s="834">
        <f t="shared" si="1"/>
        <v>7014271</v>
      </c>
      <c r="E25" s="837"/>
      <c r="F25" s="839"/>
      <c r="G25" s="837"/>
      <c r="H25" s="839"/>
      <c r="I25" s="839">
        <v>13036210</v>
      </c>
      <c r="J25" s="839">
        <v>7014271</v>
      </c>
      <c r="K25" s="837"/>
      <c r="L25" s="839"/>
      <c r="M25" s="839"/>
      <c r="N25" s="839"/>
      <c r="O25" s="837"/>
      <c r="P25" s="837"/>
      <c r="Q25" s="839"/>
      <c r="R25" s="839"/>
      <c r="S25" s="837"/>
      <c r="T25" s="837"/>
      <c r="U25" s="837"/>
      <c r="V25" s="837"/>
      <c r="W25" s="837"/>
      <c r="X25" s="837"/>
      <c r="Y25" s="837"/>
      <c r="Z25" s="837"/>
      <c r="AA25" s="835"/>
      <c r="AB25" s="835"/>
      <c r="AC25" s="835"/>
      <c r="AD25" s="835"/>
      <c r="AE25" s="836"/>
      <c r="AF25" s="836"/>
      <c r="AG25" s="350"/>
      <c r="AH25" s="350"/>
      <c r="AI25" s="350"/>
    </row>
    <row r="26" spans="1:35" s="348" customFormat="1" ht="15" customHeight="1" hidden="1">
      <c r="A26" s="437" t="s">
        <v>257</v>
      </c>
      <c r="B26" s="438" t="s">
        <v>295</v>
      </c>
      <c r="C26" s="834">
        <f t="shared" si="0"/>
        <v>0</v>
      </c>
      <c r="D26" s="834">
        <f t="shared" si="1"/>
        <v>0</v>
      </c>
      <c r="E26" s="837"/>
      <c r="F26" s="839"/>
      <c r="G26" s="837"/>
      <c r="H26" s="839"/>
      <c r="I26" s="839"/>
      <c r="J26" s="839"/>
      <c r="K26" s="837"/>
      <c r="L26" s="839"/>
      <c r="M26" s="839"/>
      <c r="N26" s="839"/>
      <c r="O26" s="837"/>
      <c r="P26" s="837"/>
      <c r="Q26" s="839"/>
      <c r="R26" s="839"/>
      <c r="S26" s="837"/>
      <c r="T26" s="837"/>
      <c r="U26" s="837"/>
      <c r="V26" s="837"/>
      <c r="W26" s="837"/>
      <c r="X26" s="837"/>
      <c r="Y26" s="837"/>
      <c r="Z26" s="837"/>
      <c r="AA26" s="835"/>
      <c r="AB26" s="835"/>
      <c r="AC26" s="835"/>
      <c r="AD26" s="835"/>
      <c r="AE26" s="836"/>
      <c r="AF26" s="836"/>
      <c r="AG26" s="350"/>
      <c r="AH26" s="350"/>
      <c r="AI26" s="350"/>
    </row>
    <row r="27" spans="1:35" s="348" customFormat="1" ht="15" customHeight="1">
      <c r="A27" s="437" t="s">
        <v>257</v>
      </c>
      <c r="B27" s="109" t="s">
        <v>702</v>
      </c>
      <c r="C27" s="834">
        <f t="shared" si="0"/>
        <v>13271000</v>
      </c>
      <c r="D27" s="834">
        <f>F27+H27+J27+L27+N27+P27+R27+T27+V27+X27+Z27+AB27+AD27</f>
        <v>17878800</v>
      </c>
      <c r="E27" s="837"/>
      <c r="F27" s="839"/>
      <c r="G27" s="837"/>
      <c r="H27" s="839"/>
      <c r="I27" s="839"/>
      <c r="J27" s="839">
        <v>4607800</v>
      </c>
      <c r="K27" s="837">
        <v>13271000</v>
      </c>
      <c r="L27" s="839">
        <v>13271000</v>
      </c>
      <c r="M27" s="839"/>
      <c r="N27" s="839"/>
      <c r="O27" s="837"/>
      <c r="P27" s="837"/>
      <c r="Q27" s="839"/>
      <c r="R27" s="839"/>
      <c r="S27" s="837"/>
      <c r="T27" s="837"/>
      <c r="U27" s="837"/>
      <c r="V27" s="837"/>
      <c r="W27" s="837"/>
      <c r="X27" s="837"/>
      <c r="Y27" s="837"/>
      <c r="Z27" s="837"/>
      <c r="AA27" s="835"/>
      <c r="AB27" s="835"/>
      <c r="AC27" s="835"/>
      <c r="AD27" s="835"/>
      <c r="AE27" s="836"/>
      <c r="AF27" s="836"/>
      <c r="AG27" s="350"/>
      <c r="AH27" s="350"/>
      <c r="AI27" s="350"/>
    </row>
    <row r="28" spans="1:35" s="348" customFormat="1" ht="15" customHeight="1">
      <c r="A28" s="437" t="s">
        <v>257</v>
      </c>
      <c r="B28" s="438" t="s">
        <v>296</v>
      </c>
      <c r="C28" s="834">
        <f t="shared" si="0"/>
        <v>243034</v>
      </c>
      <c r="D28" s="834">
        <f t="shared" si="1"/>
        <v>243034</v>
      </c>
      <c r="E28" s="837"/>
      <c r="F28" s="839"/>
      <c r="G28" s="837"/>
      <c r="H28" s="839"/>
      <c r="I28" s="839"/>
      <c r="J28" s="839"/>
      <c r="K28" s="837">
        <v>243034</v>
      </c>
      <c r="L28" s="839">
        <v>243034</v>
      </c>
      <c r="M28" s="839"/>
      <c r="N28" s="839"/>
      <c r="O28" s="837"/>
      <c r="P28" s="837"/>
      <c r="Q28" s="839"/>
      <c r="R28" s="839"/>
      <c r="S28" s="837"/>
      <c r="T28" s="837"/>
      <c r="U28" s="837"/>
      <c r="V28" s="837"/>
      <c r="W28" s="837"/>
      <c r="X28" s="837"/>
      <c r="Y28" s="837"/>
      <c r="Z28" s="837"/>
      <c r="AA28" s="835"/>
      <c r="AB28" s="835"/>
      <c r="AC28" s="835"/>
      <c r="AD28" s="835"/>
      <c r="AE28" s="836"/>
      <c r="AF28" s="836"/>
      <c r="AG28" s="350"/>
      <c r="AH28" s="350"/>
      <c r="AI28" s="350"/>
    </row>
    <row r="29" spans="1:35" s="348" customFormat="1" ht="15" customHeight="1">
      <c r="A29" s="437" t="s">
        <v>257</v>
      </c>
      <c r="B29" s="75" t="s">
        <v>788</v>
      </c>
      <c r="C29" s="834">
        <f t="shared" si="0"/>
        <v>3985138</v>
      </c>
      <c r="D29" s="834">
        <f t="shared" si="1"/>
        <v>3985138</v>
      </c>
      <c r="E29" s="837"/>
      <c r="F29" s="839"/>
      <c r="G29" s="837"/>
      <c r="H29" s="839"/>
      <c r="I29" s="1085">
        <v>3985138</v>
      </c>
      <c r="J29" s="1085">
        <v>3985138</v>
      </c>
      <c r="K29" s="837"/>
      <c r="L29" s="839"/>
      <c r="M29" s="839"/>
      <c r="N29" s="839"/>
      <c r="O29" s="837"/>
      <c r="P29" s="837"/>
      <c r="Q29" s="839"/>
      <c r="R29" s="839"/>
      <c r="S29" s="837"/>
      <c r="T29" s="837"/>
      <c r="U29" s="837"/>
      <c r="V29" s="837"/>
      <c r="W29" s="837"/>
      <c r="X29" s="837"/>
      <c r="Y29" s="837"/>
      <c r="Z29" s="837"/>
      <c r="AA29" s="835"/>
      <c r="AB29" s="835"/>
      <c r="AC29" s="835"/>
      <c r="AD29" s="835"/>
      <c r="AE29" s="836"/>
      <c r="AF29" s="836"/>
      <c r="AG29" s="350"/>
      <c r="AH29" s="350"/>
      <c r="AI29" s="350"/>
    </row>
    <row r="30" spans="1:35" s="348" customFormat="1" ht="15" customHeight="1">
      <c r="A30" s="437" t="s">
        <v>257</v>
      </c>
      <c r="B30" s="109" t="s">
        <v>700</v>
      </c>
      <c r="C30" s="834">
        <f t="shared" si="0"/>
        <v>22701699</v>
      </c>
      <c r="D30" s="834">
        <f t="shared" si="1"/>
        <v>22449040</v>
      </c>
      <c r="E30" s="837">
        <v>16735480</v>
      </c>
      <c r="F30" s="839">
        <v>16514922</v>
      </c>
      <c r="G30" s="837">
        <v>2180960</v>
      </c>
      <c r="H30" s="839">
        <v>2104624</v>
      </c>
      <c r="I30" s="839">
        <v>3150259</v>
      </c>
      <c r="J30" s="839">
        <v>3194494</v>
      </c>
      <c r="K30" s="837"/>
      <c r="L30" s="839"/>
      <c r="M30" s="839"/>
      <c r="N30" s="839"/>
      <c r="O30" s="837"/>
      <c r="P30" s="837"/>
      <c r="Q30" s="839"/>
      <c r="R30" s="839"/>
      <c r="S30" s="837">
        <v>635000</v>
      </c>
      <c r="T30" s="839">
        <v>635000</v>
      </c>
      <c r="U30" s="837"/>
      <c r="V30" s="837"/>
      <c r="W30" s="837"/>
      <c r="X30" s="837"/>
      <c r="Y30" s="837"/>
      <c r="Z30" s="837"/>
      <c r="AA30" s="835"/>
      <c r="AB30" s="835"/>
      <c r="AC30" s="835"/>
      <c r="AD30" s="835"/>
      <c r="AE30" s="836"/>
      <c r="AF30" s="836"/>
      <c r="AG30" s="350"/>
      <c r="AH30" s="350"/>
      <c r="AI30" s="350"/>
    </row>
    <row r="31" spans="1:35" s="348" customFormat="1" ht="15" customHeight="1">
      <c r="A31" s="435" t="s">
        <v>257</v>
      </c>
      <c r="B31" s="438" t="s">
        <v>6</v>
      </c>
      <c r="C31" s="834">
        <f t="shared" si="0"/>
        <v>36842169</v>
      </c>
      <c r="D31" s="834">
        <f t="shared" si="1"/>
        <v>36481433</v>
      </c>
      <c r="E31" s="837">
        <v>17839888</v>
      </c>
      <c r="F31" s="839">
        <v>17999888</v>
      </c>
      <c r="G31" s="837">
        <v>2394185</v>
      </c>
      <c r="H31" s="839">
        <v>2394185</v>
      </c>
      <c r="I31" s="839">
        <v>16608096</v>
      </c>
      <c r="J31" s="839">
        <v>16087360</v>
      </c>
      <c r="K31" s="837"/>
      <c r="L31" s="839"/>
      <c r="M31" s="839"/>
      <c r="N31" s="839"/>
      <c r="O31" s="837"/>
      <c r="P31" s="837"/>
      <c r="Q31" s="839"/>
      <c r="R31" s="839"/>
      <c r="S31" s="837"/>
      <c r="T31" s="839"/>
      <c r="U31" s="837"/>
      <c r="V31" s="837"/>
      <c r="W31" s="837"/>
      <c r="X31" s="837"/>
      <c r="Y31" s="837"/>
      <c r="Z31" s="837"/>
      <c r="AA31" s="835"/>
      <c r="AB31" s="835"/>
      <c r="AC31" s="835"/>
      <c r="AD31" s="835"/>
      <c r="AE31" s="836"/>
      <c r="AF31" s="836"/>
      <c r="AG31" s="350"/>
      <c r="AH31" s="350"/>
      <c r="AI31" s="350"/>
    </row>
    <row r="32" spans="1:35" s="348" customFormat="1" ht="15" customHeight="1">
      <c r="A32" s="437" t="s">
        <v>257</v>
      </c>
      <c r="B32" s="109" t="s">
        <v>554</v>
      </c>
      <c r="C32" s="834">
        <f t="shared" si="0"/>
        <v>2342240</v>
      </c>
      <c r="D32" s="834">
        <f t="shared" si="1"/>
        <v>1742240</v>
      </c>
      <c r="E32" s="837"/>
      <c r="F32" s="839"/>
      <c r="G32" s="837"/>
      <c r="H32" s="839"/>
      <c r="I32" s="839">
        <v>2342240</v>
      </c>
      <c r="J32" s="839">
        <v>1742240</v>
      </c>
      <c r="K32" s="837"/>
      <c r="L32" s="839"/>
      <c r="M32" s="839"/>
      <c r="N32" s="839"/>
      <c r="O32" s="837"/>
      <c r="P32" s="837"/>
      <c r="Q32" s="839"/>
      <c r="R32" s="839"/>
      <c r="S32" s="837"/>
      <c r="T32" s="839"/>
      <c r="U32" s="837"/>
      <c r="V32" s="837"/>
      <c r="W32" s="837"/>
      <c r="X32" s="837"/>
      <c r="Y32" s="837"/>
      <c r="Z32" s="837"/>
      <c r="AA32" s="835"/>
      <c r="AB32" s="835"/>
      <c r="AC32" s="835"/>
      <c r="AD32" s="835"/>
      <c r="AE32" s="836"/>
      <c r="AF32" s="836"/>
      <c r="AG32" s="350"/>
      <c r="AH32" s="350"/>
      <c r="AI32" s="350"/>
    </row>
    <row r="33" spans="1:35" s="348" customFormat="1" ht="15" customHeight="1">
      <c r="A33" s="440" t="s">
        <v>257</v>
      </c>
      <c r="B33" s="109" t="s">
        <v>555</v>
      </c>
      <c r="C33" s="834">
        <f t="shared" si="0"/>
        <v>11728210</v>
      </c>
      <c r="D33" s="834">
        <f t="shared" si="1"/>
        <v>9957231</v>
      </c>
      <c r="E33" s="837"/>
      <c r="F33" s="839"/>
      <c r="G33" s="837"/>
      <c r="H33" s="839"/>
      <c r="I33" s="839">
        <v>5628210</v>
      </c>
      <c r="J33" s="839">
        <v>3857231</v>
      </c>
      <c r="K33" s="837"/>
      <c r="L33" s="839"/>
      <c r="M33" s="839"/>
      <c r="N33" s="839"/>
      <c r="O33" s="837"/>
      <c r="P33" s="837"/>
      <c r="Q33" s="839"/>
      <c r="R33" s="839"/>
      <c r="S33" s="837">
        <v>6100000</v>
      </c>
      <c r="T33" s="839">
        <v>6100000</v>
      </c>
      <c r="U33" s="837"/>
      <c r="V33" s="839"/>
      <c r="W33" s="837"/>
      <c r="X33" s="837"/>
      <c r="Y33" s="837"/>
      <c r="Z33" s="837"/>
      <c r="AA33" s="835"/>
      <c r="AB33" s="835"/>
      <c r="AC33" s="835"/>
      <c r="AD33" s="835"/>
      <c r="AE33" s="836"/>
      <c r="AF33" s="836"/>
      <c r="AG33" s="350"/>
      <c r="AH33" s="350"/>
      <c r="AI33" s="350"/>
    </row>
    <row r="34" spans="1:35" s="348" customFormat="1" ht="15" customHeight="1">
      <c r="A34" s="437" t="s">
        <v>257</v>
      </c>
      <c r="B34" s="438" t="s">
        <v>7</v>
      </c>
      <c r="C34" s="834">
        <f t="shared" si="0"/>
        <v>8804514</v>
      </c>
      <c r="D34" s="834">
        <f t="shared" si="1"/>
        <v>8688514</v>
      </c>
      <c r="E34" s="837">
        <v>880100</v>
      </c>
      <c r="F34" s="839">
        <v>764100</v>
      </c>
      <c r="G34" s="837">
        <v>114413</v>
      </c>
      <c r="H34" s="839">
        <v>114413</v>
      </c>
      <c r="I34" s="839">
        <v>3000000</v>
      </c>
      <c r="J34" s="839">
        <v>3000000</v>
      </c>
      <c r="K34" s="837"/>
      <c r="L34" s="839"/>
      <c r="M34" s="839"/>
      <c r="N34" s="839"/>
      <c r="O34" s="837"/>
      <c r="P34" s="837"/>
      <c r="Q34" s="839">
        <v>3810000</v>
      </c>
      <c r="R34" s="839">
        <v>3810000</v>
      </c>
      <c r="S34" s="837">
        <v>1000001</v>
      </c>
      <c r="T34" s="839">
        <v>1000001</v>
      </c>
      <c r="U34" s="837"/>
      <c r="V34" s="839"/>
      <c r="W34" s="837"/>
      <c r="X34" s="837"/>
      <c r="Y34" s="837"/>
      <c r="Z34" s="837"/>
      <c r="AA34" s="835"/>
      <c r="AB34" s="835"/>
      <c r="AC34" s="835"/>
      <c r="AD34" s="835"/>
      <c r="AE34" s="836"/>
      <c r="AF34" s="836"/>
      <c r="AG34" s="350"/>
      <c r="AH34" s="350"/>
      <c r="AI34" s="350"/>
    </row>
    <row r="35" spans="1:32" s="350" customFormat="1" ht="15" customHeight="1">
      <c r="A35" s="437" t="s">
        <v>404</v>
      </c>
      <c r="B35" s="109" t="s">
        <v>911</v>
      </c>
      <c r="C35" s="834">
        <f t="shared" si="0"/>
        <v>7400000</v>
      </c>
      <c r="D35" s="834">
        <f t="shared" si="1"/>
        <v>10774256</v>
      </c>
      <c r="E35" s="835"/>
      <c r="F35" s="840"/>
      <c r="G35" s="835"/>
      <c r="H35" s="840"/>
      <c r="I35" s="840"/>
      <c r="J35" s="840">
        <v>50000</v>
      </c>
      <c r="K35" s="835">
        <v>7400000</v>
      </c>
      <c r="L35" s="840">
        <v>10424256</v>
      </c>
      <c r="M35" s="840"/>
      <c r="N35" s="840"/>
      <c r="O35" s="835"/>
      <c r="P35" s="835"/>
      <c r="Q35" s="840"/>
      <c r="R35" s="840"/>
      <c r="S35" s="835"/>
      <c r="T35" s="840"/>
      <c r="U35" s="835"/>
      <c r="V35" s="835">
        <v>300000</v>
      </c>
      <c r="W35" s="835"/>
      <c r="X35" s="835"/>
      <c r="Y35" s="835"/>
      <c r="Z35" s="835"/>
      <c r="AA35" s="835"/>
      <c r="AB35" s="835"/>
      <c r="AC35" s="835"/>
      <c r="AD35" s="835"/>
      <c r="AE35" s="836"/>
      <c r="AF35" s="836"/>
    </row>
    <row r="36" spans="1:35" s="348" customFormat="1" ht="15" customHeight="1">
      <c r="A36" s="440" t="s">
        <v>257</v>
      </c>
      <c r="B36" s="109" t="s">
        <v>558</v>
      </c>
      <c r="C36" s="834">
        <f t="shared" si="0"/>
        <v>168490</v>
      </c>
      <c r="D36" s="834">
        <f t="shared" si="1"/>
        <v>168490</v>
      </c>
      <c r="E36" s="837"/>
      <c r="F36" s="839"/>
      <c r="G36" s="837"/>
      <c r="H36" s="839"/>
      <c r="I36" s="839">
        <v>168490</v>
      </c>
      <c r="J36" s="839">
        <v>168490</v>
      </c>
      <c r="K36" s="837"/>
      <c r="L36" s="839"/>
      <c r="M36" s="839"/>
      <c r="N36" s="839"/>
      <c r="O36" s="837"/>
      <c r="P36" s="837"/>
      <c r="Q36" s="839"/>
      <c r="R36" s="839"/>
      <c r="S36" s="837"/>
      <c r="T36" s="839"/>
      <c r="U36" s="837"/>
      <c r="V36" s="839"/>
      <c r="W36" s="837"/>
      <c r="X36" s="837"/>
      <c r="Y36" s="837"/>
      <c r="Z36" s="837"/>
      <c r="AA36" s="835"/>
      <c r="AB36" s="835"/>
      <c r="AC36" s="835"/>
      <c r="AD36" s="835"/>
      <c r="AE36" s="836"/>
      <c r="AF36" s="836"/>
      <c r="AG36" s="350"/>
      <c r="AH36" s="350"/>
      <c r="AI36" s="350"/>
    </row>
    <row r="37" spans="1:35" s="348" customFormat="1" ht="15" customHeight="1">
      <c r="A37" s="437" t="s">
        <v>404</v>
      </c>
      <c r="B37" s="438" t="s">
        <v>299</v>
      </c>
      <c r="C37" s="834">
        <f t="shared" si="0"/>
        <v>0</v>
      </c>
      <c r="D37" s="834">
        <f t="shared" si="1"/>
        <v>0</v>
      </c>
      <c r="E37" s="837"/>
      <c r="F37" s="839"/>
      <c r="G37" s="837"/>
      <c r="H37" s="839"/>
      <c r="I37" s="839"/>
      <c r="J37" s="839"/>
      <c r="K37" s="837"/>
      <c r="L37" s="839"/>
      <c r="M37" s="839"/>
      <c r="N37" s="839"/>
      <c r="O37" s="837"/>
      <c r="P37" s="837"/>
      <c r="Q37" s="839"/>
      <c r="R37" s="839"/>
      <c r="S37" s="837"/>
      <c r="T37" s="837"/>
      <c r="U37" s="837"/>
      <c r="V37" s="839"/>
      <c r="W37" s="837"/>
      <c r="X37" s="837"/>
      <c r="Y37" s="837"/>
      <c r="Z37" s="837"/>
      <c r="AA37" s="835"/>
      <c r="AB37" s="835"/>
      <c r="AC37" s="835"/>
      <c r="AD37" s="835"/>
      <c r="AE37" s="836"/>
      <c r="AF37" s="836"/>
      <c r="AG37" s="350"/>
      <c r="AH37" s="350"/>
      <c r="AI37" s="350"/>
    </row>
    <row r="38" spans="1:35" s="348" customFormat="1" ht="15" customHeight="1">
      <c r="A38" s="437" t="s">
        <v>257</v>
      </c>
      <c r="B38" s="438" t="s">
        <v>300</v>
      </c>
      <c r="C38" s="834">
        <f t="shared" si="0"/>
        <v>635000</v>
      </c>
      <c r="D38" s="834">
        <f t="shared" si="1"/>
        <v>3759481</v>
      </c>
      <c r="E38" s="837"/>
      <c r="F38" s="839">
        <v>2763839</v>
      </c>
      <c r="G38" s="837"/>
      <c r="H38" s="839">
        <v>360642</v>
      </c>
      <c r="I38" s="839">
        <v>635000</v>
      </c>
      <c r="J38" s="839">
        <v>635000</v>
      </c>
      <c r="K38" s="837"/>
      <c r="L38" s="839"/>
      <c r="M38" s="839"/>
      <c r="N38" s="839"/>
      <c r="O38" s="837"/>
      <c r="P38" s="837"/>
      <c r="Q38" s="839"/>
      <c r="R38" s="839"/>
      <c r="S38" s="837"/>
      <c r="T38" s="837"/>
      <c r="U38" s="837"/>
      <c r="V38" s="839"/>
      <c r="W38" s="837"/>
      <c r="X38" s="837"/>
      <c r="Y38" s="837"/>
      <c r="Z38" s="837"/>
      <c r="AA38" s="835"/>
      <c r="AB38" s="835"/>
      <c r="AC38" s="835"/>
      <c r="AD38" s="835"/>
      <c r="AE38" s="836"/>
      <c r="AF38" s="836"/>
      <c r="AG38" s="350"/>
      <c r="AH38" s="350"/>
      <c r="AI38" s="350"/>
    </row>
    <row r="39" spans="1:35" s="348" customFormat="1" ht="15" customHeight="1">
      <c r="A39" s="440" t="s">
        <v>257</v>
      </c>
      <c r="B39" s="430" t="s">
        <v>559</v>
      </c>
      <c r="C39" s="834">
        <f t="shared" si="0"/>
        <v>12620000</v>
      </c>
      <c r="D39" s="834">
        <f>F39+H39+J39+L39+N39+P39+R39+T39+V39+X39+Z39+AB39+AD39</f>
        <v>15015190</v>
      </c>
      <c r="E39" s="837"/>
      <c r="F39" s="839"/>
      <c r="G39" s="837"/>
      <c r="H39" s="839"/>
      <c r="I39" s="839">
        <v>7620000</v>
      </c>
      <c r="J39" s="839">
        <v>10015190</v>
      </c>
      <c r="K39" s="837"/>
      <c r="L39" s="839"/>
      <c r="M39" s="839"/>
      <c r="N39" s="839"/>
      <c r="O39" s="837"/>
      <c r="P39" s="837"/>
      <c r="Q39" s="839">
        <v>5000000</v>
      </c>
      <c r="R39" s="839">
        <v>5000000</v>
      </c>
      <c r="S39" s="837"/>
      <c r="T39" s="837"/>
      <c r="U39" s="837"/>
      <c r="V39" s="839"/>
      <c r="W39" s="837"/>
      <c r="X39" s="837"/>
      <c r="Y39" s="837"/>
      <c r="Z39" s="837"/>
      <c r="AA39" s="835"/>
      <c r="AB39" s="835"/>
      <c r="AC39" s="835"/>
      <c r="AD39" s="835"/>
      <c r="AE39" s="836"/>
      <c r="AF39" s="836"/>
      <c r="AG39" s="350"/>
      <c r="AH39" s="350"/>
      <c r="AI39" s="350"/>
    </row>
    <row r="40" spans="1:35" s="348" customFormat="1" ht="15" customHeight="1">
      <c r="A40" s="440" t="s">
        <v>257</v>
      </c>
      <c r="B40" s="430" t="s">
        <v>920</v>
      </c>
      <c r="C40" s="834">
        <f t="shared" si="0"/>
        <v>4000500</v>
      </c>
      <c r="D40" s="834">
        <f t="shared" si="1"/>
        <v>0</v>
      </c>
      <c r="E40" s="837"/>
      <c r="F40" s="839"/>
      <c r="G40" s="837"/>
      <c r="H40" s="839"/>
      <c r="I40" s="839">
        <v>4000500</v>
      </c>
      <c r="J40" s="839"/>
      <c r="K40" s="837"/>
      <c r="L40" s="839"/>
      <c r="M40" s="839"/>
      <c r="N40" s="839"/>
      <c r="O40" s="837"/>
      <c r="P40" s="837"/>
      <c r="Q40" s="839"/>
      <c r="R40" s="839"/>
      <c r="S40" s="837"/>
      <c r="T40" s="837"/>
      <c r="U40" s="837"/>
      <c r="V40" s="839"/>
      <c r="W40" s="837"/>
      <c r="X40" s="837"/>
      <c r="Y40" s="837"/>
      <c r="Z40" s="837"/>
      <c r="AA40" s="835"/>
      <c r="AB40" s="835"/>
      <c r="AC40" s="835"/>
      <c r="AD40" s="835"/>
      <c r="AE40" s="836"/>
      <c r="AF40" s="836"/>
      <c r="AG40" s="350"/>
      <c r="AH40" s="350"/>
      <c r="AI40" s="350"/>
    </row>
    <row r="41" spans="1:35" s="348" customFormat="1" ht="15" customHeight="1">
      <c r="A41" s="437" t="s">
        <v>257</v>
      </c>
      <c r="B41" s="434" t="s">
        <v>374</v>
      </c>
      <c r="C41" s="834">
        <f t="shared" si="0"/>
        <v>2082800</v>
      </c>
      <c r="D41" s="834">
        <f>F41+H41+J41+L41+N41+P41+R41+T41+V41+X41+Z41+AB41+AD41</f>
        <v>895785</v>
      </c>
      <c r="E41" s="837"/>
      <c r="F41" s="839"/>
      <c r="G41" s="837"/>
      <c r="H41" s="839"/>
      <c r="I41" s="839">
        <v>2082800</v>
      </c>
      <c r="J41" s="839">
        <v>895785</v>
      </c>
      <c r="K41" s="837"/>
      <c r="L41" s="839"/>
      <c r="M41" s="839"/>
      <c r="N41" s="839"/>
      <c r="O41" s="837"/>
      <c r="P41" s="837"/>
      <c r="Q41" s="837"/>
      <c r="R41" s="837"/>
      <c r="S41" s="837"/>
      <c r="T41" s="837"/>
      <c r="U41" s="837"/>
      <c r="V41" s="839"/>
      <c r="W41" s="837"/>
      <c r="X41" s="837"/>
      <c r="Y41" s="837"/>
      <c r="Z41" s="837"/>
      <c r="AA41" s="835"/>
      <c r="AB41" s="835"/>
      <c r="AC41" s="835"/>
      <c r="AD41" s="835"/>
      <c r="AE41" s="836"/>
      <c r="AF41" s="836"/>
      <c r="AG41" s="350"/>
      <c r="AH41" s="350"/>
      <c r="AI41" s="350"/>
    </row>
    <row r="42" spans="1:35" s="348" customFormat="1" ht="15" customHeight="1">
      <c r="A42" s="437" t="s">
        <v>257</v>
      </c>
      <c r="B42" s="438" t="s">
        <v>128</v>
      </c>
      <c r="C42" s="834">
        <f t="shared" si="0"/>
        <v>33361773</v>
      </c>
      <c r="D42" s="834">
        <f t="shared" si="1"/>
        <v>30899124</v>
      </c>
      <c r="E42" s="837">
        <v>9019903</v>
      </c>
      <c r="F42" s="839">
        <v>6821922</v>
      </c>
      <c r="G42" s="837">
        <v>1185010</v>
      </c>
      <c r="H42" s="839">
        <v>882166</v>
      </c>
      <c r="I42" s="839">
        <v>23156860</v>
      </c>
      <c r="J42" s="839">
        <v>23195036</v>
      </c>
      <c r="K42" s="837"/>
      <c r="L42" s="839"/>
      <c r="M42" s="839"/>
      <c r="N42" s="839"/>
      <c r="O42" s="837"/>
      <c r="P42" s="837"/>
      <c r="Q42" s="837"/>
      <c r="R42" s="837"/>
      <c r="S42" s="837"/>
      <c r="T42" s="837"/>
      <c r="U42" s="837"/>
      <c r="V42" s="839"/>
      <c r="W42" s="837"/>
      <c r="X42" s="837"/>
      <c r="Y42" s="837"/>
      <c r="Z42" s="837"/>
      <c r="AA42" s="835"/>
      <c r="AB42" s="835"/>
      <c r="AC42" s="835"/>
      <c r="AD42" s="835"/>
      <c r="AE42" s="836"/>
      <c r="AF42" s="836"/>
      <c r="AG42" s="350"/>
      <c r="AH42" s="350"/>
      <c r="AI42" s="350"/>
    </row>
    <row r="43" spans="1:35" s="348" customFormat="1" ht="15" customHeight="1">
      <c r="A43" s="440" t="s">
        <v>404</v>
      </c>
      <c r="B43" s="430" t="s">
        <v>517</v>
      </c>
      <c r="C43" s="834">
        <f aca="true" t="shared" si="2" ref="C43:D45">E43+G43+I43+K43+M43+O43+Q43+S43+U43+W43+Y43+AA43+AC43</f>
        <v>0</v>
      </c>
      <c r="D43" s="834">
        <f t="shared" si="2"/>
        <v>4336669</v>
      </c>
      <c r="E43" s="837"/>
      <c r="F43" s="839">
        <v>3830681</v>
      </c>
      <c r="G43" s="837"/>
      <c r="H43" s="839">
        <v>505988</v>
      </c>
      <c r="I43" s="839"/>
      <c r="J43" s="839"/>
      <c r="K43" s="837"/>
      <c r="L43" s="839"/>
      <c r="M43" s="839"/>
      <c r="N43" s="839"/>
      <c r="O43" s="837"/>
      <c r="P43" s="837"/>
      <c r="Q43" s="837"/>
      <c r="R43" s="837"/>
      <c r="S43" s="837"/>
      <c r="T43" s="837"/>
      <c r="U43" s="837"/>
      <c r="V43" s="839"/>
      <c r="W43" s="837"/>
      <c r="X43" s="837"/>
      <c r="Y43" s="837"/>
      <c r="Z43" s="837"/>
      <c r="AA43" s="835"/>
      <c r="AB43" s="835"/>
      <c r="AC43" s="835"/>
      <c r="AD43" s="835"/>
      <c r="AE43" s="836"/>
      <c r="AF43" s="836"/>
      <c r="AG43" s="350"/>
      <c r="AH43" s="350"/>
      <c r="AI43" s="350"/>
    </row>
    <row r="44" spans="1:35" s="348" customFormat="1" ht="15" customHeight="1">
      <c r="A44" s="440" t="s">
        <v>257</v>
      </c>
      <c r="B44" s="430" t="s">
        <v>881</v>
      </c>
      <c r="C44" s="834">
        <f t="shared" si="2"/>
        <v>300000</v>
      </c>
      <c r="D44" s="834">
        <f t="shared" si="2"/>
        <v>356000</v>
      </c>
      <c r="E44" s="837"/>
      <c r="F44" s="839"/>
      <c r="G44" s="837"/>
      <c r="H44" s="839"/>
      <c r="I44" s="839">
        <v>300000</v>
      </c>
      <c r="J44" s="839">
        <v>356000</v>
      </c>
      <c r="K44" s="837"/>
      <c r="L44" s="839"/>
      <c r="M44" s="839"/>
      <c r="N44" s="839"/>
      <c r="O44" s="837"/>
      <c r="P44" s="837"/>
      <c r="Q44" s="837"/>
      <c r="R44" s="837"/>
      <c r="S44" s="837"/>
      <c r="T44" s="837"/>
      <c r="U44" s="837"/>
      <c r="V44" s="839"/>
      <c r="W44" s="837"/>
      <c r="X44" s="837"/>
      <c r="Y44" s="837"/>
      <c r="Z44" s="837"/>
      <c r="AA44" s="835"/>
      <c r="AB44" s="835"/>
      <c r="AC44" s="835"/>
      <c r="AD44" s="835"/>
      <c r="AE44" s="836"/>
      <c r="AF44" s="836"/>
      <c r="AG44" s="350"/>
      <c r="AH44" s="350"/>
      <c r="AI44" s="350"/>
    </row>
    <row r="45" spans="1:35" s="348" customFormat="1" ht="15" customHeight="1">
      <c r="A45" s="440" t="s">
        <v>257</v>
      </c>
      <c r="B45" s="430" t="s">
        <v>536</v>
      </c>
      <c r="C45" s="834">
        <f t="shared" si="2"/>
        <v>0</v>
      </c>
      <c r="D45" s="834">
        <f t="shared" si="2"/>
        <v>833295</v>
      </c>
      <c r="E45" s="837"/>
      <c r="F45" s="839">
        <v>737430</v>
      </c>
      <c r="G45" s="837"/>
      <c r="H45" s="839">
        <v>95865</v>
      </c>
      <c r="I45" s="839"/>
      <c r="J45" s="839"/>
      <c r="K45" s="837"/>
      <c r="L45" s="839"/>
      <c r="M45" s="839"/>
      <c r="N45" s="839"/>
      <c r="O45" s="837"/>
      <c r="P45" s="837"/>
      <c r="Q45" s="837"/>
      <c r="R45" s="837"/>
      <c r="S45" s="837"/>
      <c r="T45" s="839"/>
      <c r="U45" s="839"/>
      <c r="V45" s="839"/>
      <c r="W45" s="839"/>
      <c r="X45" s="839"/>
      <c r="Y45" s="839"/>
      <c r="Z45" s="839"/>
      <c r="AA45" s="840"/>
      <c r="AB45" s="840"/>
      <c r="AC45" s="840"/>
      <c r="AD45" s="835"/>
      <c r="AE45" s="836"/>
      <c r="AF45" s="836"/>
      <c r="AG45" s="350"/>
      <c r="AH45" s="350"/>
      <c r="AI45" s="350"/>
    </row>
    <row r="46" spans="1:35" s="348" customFormat="1" ht="15" customHeight="1">
      <c r="A46" s="437" t="s">
        <v>257</v>
      </c>
      <c r="B46" s="438" t="s">
        <v>8</v>
      </c>
      <c r="C46" s="834">
        <f>E46+G46+I46+K46+M46+O46+Q46+S46+U46+W46+Y46+AA46+AC46</f>
        <v>13747000</v>
      </c>
      <c r="D46" s="834">
        <f t="shared" si="1"/>
        <v>17624381</v>
      </c>
      <c r="E46" s="837"/>
      <c r="F46" s="839"/>
      <c r="G46" s="837"/>
      <c r="H46" s="839"/>
      <c r="I46" s="839">
        <v>7447000</v>
      </c>
      <c r="J46" s="839">
        <v>11053744</v>
      </c>
      <c r="K46" s="837"/>
      <c r="L46" s="839"/>
      <c r="M46" s="839">
        <v>6300000</v>
      </c>
      <c r="N46" s="839">
        <v>6570637</v>
      </c>
      <c r="O46" s="837"/>
      <c r="P46" s="837"/>
      <c r="Q46" s="837"/>
      <c r="R46" s="837"/>
      <c r="S46" s="837"/>
      <c r="T46" s="839"/>
      <c r="U46" s="839"/>
      <c r="V46" s="839"/>
      <c r="W46" s="839"/>
      <c r="X46" s="839"/>
      <c r="Y46" s="839"/>
      <c r="Z46" s="839"/>
      <c r="AA46" s="840"/>
      <c r="AB46" s="840"/>
      <c r="AC46" s="840"/>
      <c r="AD46" s="835"/>
      <c r="AE46" s="836"/>
      <c r="AF46" s="836"/>
      <c r="AG46" s="350"/>
      <c r="AH46" s="350"/>
      <c r="AI46" s="350"/>
    </row>
    <row r="47" spans="1:35" s="348" customFormat="1" ht="15" customHeight="1">
      <c r="A47" s="440" t="s">
        <v>404</v>
      </c>
      <c r="B47" s="438" t="s">
        <v>8</v>
      </c>
      <c r="C47" s="834">
        <f>E47+G47+I47+K47+M47+O47+Q47+S47+U47+W47+Y47+AA47+AC47</f>
        <v>900000</v>
      </c>
      <c r="D47" s="834">
        <f>F47+H47+J47+L47+N47+P47+R47+T47+V47+X47+Z47+AB47+AD47</f>
        <v>900000</v>
      </c>
      <c r="E47" s="837"/>
      <c r="F47" s="839"/>
      <c r="G47" s="837"/>
      <c r="H47" s="839"/>
      <c r="I47" s="839"/>
      <c r="J47" s="839"/>
      <c r="K47" s="837">
        <v>900000</v>
      </c>
      <c r="L47" s="839">
        <v>900000</v>
      </c>
      <c r="M47" s="839"/>
      <c r="N47" s="839"/>
      <c r="O47" s="837"/>
      <c r="P47" s="837"/>
      <c r="Q47" s="837"/>
      <c r="R47" s="837"/>
      <c r="S47" s="837"/>
      <c r="T47" s="839"/>
      <c r="U47" s="839"/>
      <c r="V47" s="839"/>
      <c r="W47" s="839"/>
      <c r="X47" s="839"/>
      <c r="Y47" s="839"/>
      <c r="Z47" s="839"/>
      <c r="AA47" s="840"/>
      <c r="AB47" s="840"/>
      <c r="AC47" s="840"/>
      <c r="AD47" s="835"/>
      <c r="AE47" s="836"/>
      <c r="AF47" s="836"/>
      <c r="AG47" s="350"/>
      <c r="AH47" s="350"/>
      <c r="AI47" s="350"/>
    </row>
    <row r="48" spans="1:35" s="348" customFormat="1" ht="15" customHeight="1">
      <c r="A48" s="440" t="s">
        <v>257</v>
      </c>
      <c r="B48" s="109" t="s">
        <v>847</v>
      </c>
      <c r="C48" s="834">
        <f aca="true" t="shared" si="3" ref="C48:C53">E48+G48+I48+K48+M48+O48+Q48+S48+U48+W48+Y48+AA48+AC48</f>
        <v>0</v>
      </c>
      <c r="D48" s="834">
        <f aca="true" t="shared" si="4" ref="D48:D53">F48+H48+J48+L48+N48+P48+R48+T48+V48+X48+Z48+AB48+AD48</f>
        <v>35171468</v>
      </c>
      <c r="E48" s="837"/>
      <c r="F48" s="839"/>
      <c r="G48" s="837"/>
      <c r="H48" s="839"/>
      <c r="I48" s="839"/>
      <c r="J48" s="839">
        <v>35171468</v>
      </c>
      <c r="K48" s="837"/>
      <c r="L48" s="839"/>
      <c r="M48" s="839"/>
      <c r="N48" s="839"/>
      <c r="O48" s="837"/>
      <c r="P48" s="837"/>
      <c r="Q48" s="837"/>
      <c r="R48" s="839"/>
      <c r="S48" s="837"/>
      <c r="T48" s="839"/>
      <c r="U48" s="839"/>
      <c r="V48" s="839"/>
      <c r="W48" s="839"/>
      <c r="X48" s="839"/>
      <c r="Y48" s="839"/>
      <c r="Z48" s="839"/>
      <c r="AA48" s="840"/>
      <c r="AB48" s="840"/>
      <c r="AC48" s="840"/>
      <c r="AD48" s="835"/>
      <c r="AE48" s="836"/>
      <c r="AF48" s="836"/>
      <c r="AG48" s="350"/>
      <c r="AH48" s="350"/>
      <c r="AI48" s="350"/>
    </row>
    <row r="49" spans="1:35" s="348" customFormat="1" ht="15" customHeight="1">
      <c r="A49" s="440" t="s">
        <v>257</v>
      </c>
      <c r="B49" s="109" t="s">
        <v>793</v>
      </c>
      <c r="C49" s="834">
        <f t="shared" si="3"/>
        <v>188542247</v>
      </c>
      <c r="D49" s="834">
        <f t="shared" si="4"/>
        <v>188542247</v>
      </c>
      <c r="E49" s="837"/>
      <c r="F49" s="839"/>
      <c r="G49" s="837"/>
      <c r="H49" s="839"/>
      <c r="I49" s="839">
        <v>7179897</v>
      </c>
      <c r="J49" s="839">
        <v>6179897</v>
      </c>
      <c r="K49" s="837"/>
      <c r="L49" s="839"/>
      <c r="M49" s="839"/>
      <c r="N49" s="839"/>
      <c r="O49" s="837"/>
      <c r="P49" s="837"/>
      <c r="Q49" s="837">
        <v>181362350</v>
      </c>
      <c r="R49" s="839">
        <v>181362350</v>
      </c>
      <c r="S49" s="837"/>
      <c r="T49" s="839"/>
      <c r="U49" s="839"/>
      <c r="V49" s="839">
        <v>1000000</v>
      </c>
      <c r="W49" s="839"/>
      <c r="X49" s="839"/>
      <c r="Y49" s="839"/>
      <c r="Z49" s="839"/>
      <c r="AA49" s="840"/>
      <c r="AB49" s="840"/>
      <c r="AC49" s="840"/>
      <c r="AD49" s="835"/>
      <c r="AE49" s="836"/>
      <c r="AF49" s="836"/>
      <c r="AG49" s="350"/>
      <c r="AH49" s="350"/>
      <c r="AI49" s="350"/>
    </row>
    <row r="50" spans="1:35" s="348" customFormat="1" ht="21.75" customHeight="1">
      <c r="A50" s="440" t="s">
        <v>257</v>
      </c>
      <c r="B50" s="1142" t="s">
        <v>857</v>
      </c>
      <c r="C50" s="834">
        <f>E50+G50+I50+K50+M50+O50+Q50+S50+U50+W50+Y50+AA50+AC50</f>
        <v>0</v>
      </c>
      <c r="D50" s="834">
        <f>F50+H50+J50+L50+N50+P50+R50+T50+V50+X50+Z50+AB50+AD50</f>
        <v>228785046</v>
      </c>
      <c r="E50" s="837"/>
      <c r="F50" s="839"/>
      <c r="G50" s="837"/>
      <c r="H50" s="839"/>
      <c r="I50" s="839"/>
      <c r="J50" s="839"/>
      <c r="K50" s="837"/>
      <c r="L50" s="839"/>
      <c r="M50" s="839"/>
      <c r="N50" s="839"/>
      <c r="O50" s="837"/>
      <c r="P50" s="837"/>
      <c r="Q50" s="837"/>
      <c r="R50" s="839">
        <v>79252336</v>
      </c>
      <c r="S50" s="837"/>
      <c r="T50" s="839">
        <v>149532710</v>
      </c>
      <c r="U50" s="839"/>
      <c r="V50" s="839"/>
      <c r="W50" s="839"/>
      <c r="X50" s="839"/>
      <c r="Y50" s="839"/>
      <c r="Z50" s="839"/>
      <c r="AA50" s="840"/>
      <c r="AB50" s="840"/>
      <c r="AC50" s="840"/>
      <c r="AD50" s="835"/>
      <c r="AE50" s="836"/>
      <c r="AF50" s="836"/>
      <c r="AG50" s="350"/>
      <c r="AH50" s="350"/>
      <c r="AI50" s="350"/>
    </row>
    <row r="51" spans="1:35" s="348" customFormat="1" ht="24.75" customHeight="1">
      <c r="A51" s="440" t="s">
        <v>257</v>
      </c>
      <c r="B51" s="1142" t="s">
        <v>880</v>
      </c>
      <c r="C51" s="834">
        <f t="shared" si="3"/>
        <v>0</v>
      </c>
      <c r="D51" s="834">
        <f t="shared" si="4"/>
        <v>149992600</v>
      </c>
      <c r="E51" s="837"/>
      <c r="F51" s="839"/>
      <c r="G51" s="837"/>
      <c r="H51" s="839"/>
      <c r="I51" s="839"/>
      <c r="J51" s="839">
        <v>518401</v>
      </c>
      <c r="K51" s="837"/>
      <c r="L51" s="837"/>
      <c r="M51" s="839"/>
      <c r="N51" s="839"/>
      <c r="O51" s="837"/>
      <c r="P51" s="837"/>
      <c r="Q51" s="837"/>
      <c r="R51" s="839">
        <v>149474199</v>
      </c>
      <c r="S51" s="837"/>
      <c r="T51" s="839"/>
      <c r="U51" s="839"/>
      <c r="V51" s="839"/>
      <c r="W51" s="839"/>
      <c r="X51" s="839"/>
      <c r="Y51" s="839"/>
      <c r="Z51" s="839"/>
      <c r="AA51" s="840"/>
      <c r="AB51" s="840"/>
      <c r="AC51" s="840"/>
      <c r="AD51" s="835"/>
      <c r="AE51" s="836"/>
      <c r="AF51" s="836"/>
      <c r="AG51" s="350"/>
      <c r="AH51" s="350"/>
      <c r="AI51" s="350"/>
    </row>
    <row r="52" spans="1:35" s="348" customFormat="1" ht="15" customHeight="1">
      <c r="A52" s="75" t="s">
        <v>678</v>
      </c>
      <c r="B52" s="109" t="s">
        <v>560</v>
      </c>
      <c r="C52" s="834">
        <f t="shared" si="3"/>
        <v>842422326</v>
      </c>
      <c r="D52" s="834">
        <f t="shared" si="4"/>
        <v>951494314</v>
      </c>
      <c r="E52" s="837"/>
      <c r="F52" s="839"/>
      <c r="G52" s="837"/>
      <c r="H52" s="839"/>
      <c r="I52" s="839">
        <v>178448240</v>
      </c>
      <c r="J52" s="839">
        <f>178448240-52008120+1915000+517050</f>
        <v>128872170</v>
      </c>
      <c r="K52" s="837"/>
      <c r="L52" s="837"/>
      <c r="M52" s="839"/>
      <c r="N52" s="839"/>
      <c r="O52" s="837"/>
      <c r="P52" s="837"/>
      <c r="Q52" s="837"/>
      <c r="R52" s="837"/>
      <c r="S52" s="837">
        <v>663974086</v>
      </c>
      <c r="T52" s="839">
        <v>822622144</v>
      </c>
      <c r="U52" s="839"/>
      <c r="V52" s="839"/>
      <c r="W52" s="839"/>
      <c r="X52" s="839"/>
      <c r="Y52" s="839"/>
      <c r="Z52" s="839"/>
      <c r="AA52" s="840"/>
      <c r="AB52" s="840"/>
      <c r="AC52" s="840"/>
      <c r="AD52" s="835"/>
      <c r="AE52" s="836"/>
      <c r="AF52" s="836"/>
      <c r="AG52" s="350"/>
      <c r="AH52" s="350"/>
      <c r="AI52" s="350"/>
    </row>
    <row r="53" spans="1:35" s="348" customFormat="1" ht="15" customHeight="1">
      <c r="A53" s="440" t="s">
        <v>257</v>
      </c>
      <c r="B53" s="109" t="s">
        <v>882</v>
      </c>
      <c r="C53" s="834">
        <f t="shared" si="3"/>
        <v>18350000</v>
      </c>
      <c r="D53" s="834">
        <f t="shared" si="4"/>
        <v>18350000</v>
      </c>
      <c r="E53" s="837"/>
      <c r="F53" s="839"/>
      <c r="G53" s="837"/>
      <c r="H53" s="839"/>
      <c r="I53" s="839">
        <v>1350000</v>
      </c>
      <c r="J53" s="839">
        <v>1350000</v>
      </c>
      <c r="K53" s="837"/>
      <c r="L53" s="837"/>
      <c r="M53" s="839"/>
      <c r="N53" s="839"/>
      <c r="O53" s="837"/>
      <c r="P53" s="837"/>
      <c r="Q53" s="837"/>
      <c r="R53" s="837"/>
      <c r="S53" s="837"/>
      <c r="T53" s="839"/>
      <c r="U53" s="839">
        <v>17000000</v>
      </c>
      <c r="V53" s="839">
        <v>17000000</v>
      </c>
      <c r="W53" s="839"/>
      <c r="X53" s="839"/>
      <c r="Y53" s="839"/>
      <c r="Z53" s="839"/>
      <c r="AA53" s="840"/>
      <c r="AB53" s="840"/>
      <c r="AC53" s="840"/>
      <c r="AD53" s="835"/>
      <c r="AE53" s="836"/>
      <c r="AF53" s="836"/>
      <c r="AG53" s="350"/>
      <c r="AH53" s="350"/>
      <c r="AI53" s="350"/>
    </row>
    <row r="54" spans="1:35" s="348" customFormat="1" ht="15" customHeight="1">
      <c r="A54" s="440" t="s">
        <v>257</v>
      </c>
      <c r="B54" s="109" t="s">
        <v>883</v>
      </c>
      <c r="C54" s="834">
        <f aca="true" t="shared" si="5" ref="C54:C65">E54+G54+I54+K54+M54+O54+Q54+S54+U54+W54+Y54+AA54+AC54</f>
        <v>0</v>
      </c>
      <c r="D54" s="834">
        <f aca="true" t="shared" si="6" ref="D54:D63">F54+H54+J54+L54+N54+P54+R54+T54+V54+X54+Z54+AB54+AD54</f>
        <v>2466435</v>
      </c>
      <c r="E54" s="837"/>
      <c r="F54" s="839"/>
      <c r="G54" s="837"/>
      <c r="H54" s="839"/>
      <c r="I54" s="839"/>
      <c r="J54" s="839"/>
      <c r="K54" s="837"/>
      <c r="L54" s="837"/>
      <c r="M54" s="839"/>
      <c r="N54" s="839"/>
      <c r="O54" s="837"/>
      <c r="P54" s="837"/>
      <c r="Q54" s="837"/>
      <c r="R54" s="837">
        <v>2466435</v>
      </c>
      <c r="S54" s="837"/>
      <c r="T54" s="839"/>
      <c r="U54" s="839"/>
      <c r="V54" s="839"/>
      <c r="W54" s="839"/>
      <c r="X54" s="839"/>
      <c r="Y54" s="839"/>
      <c r="Z54" s="839"/>
      <c r="AA54" s="840"/>
      <c r="AB54" s="840"/>
      <c r="AC54" s="840"/>
      <c r="AD54" s="835"/>
      <c r="AE54" s="836"/>
      <c r="AF54" s="836"/>
      <c r="AG54" s="350"/>
      <c r="AH54" s="350"/>
      <c r="AI54" s="350"/>
    </row>
    <row r="55" spans="1:35" s="348" customFormat="1" ht="15" customHeight="1">
      <c r="A55" s="440" t="s">
        <v>257</v>
      </c>
      <c r="B55" s="109" t="s">
        <v>884</v>
      </c>
      <c r="C55" s="834">
        <f t="shared" si="5"/>
        <v>0</v>
      </c>
      <c r="D55" s="834">
        <f t="shared" si="6"/>
        <v>660400</v>
      </c>
      <c r="E55" s="837"/>
      <c r="F55" s="839"/>
      <c r="G55" s="837"/>
      <c r="H55" s="839"/>
      <c r="I55" s="839"/>
      <c r="J55" s="839">
        <v>660400</v>
      </c>
      <c r="K55" s="837"/>
      <c r="L55" s="837"/>
      <c r="M55" s="839"/>
      <c r="N55" s="839"/>
      <c r="O55" s="837"/>
      <c r="P55" s="837"/>
      <c r="Q55" s="837"/>
      <c r="R55" s="837"/>
      <c r="S55" s="837"/>
      <c r="T55" s="839"/>
      <c r="U55" s="839"/>
      <c r="V55" s="839"/>
      <c r="W55" s="839"/>
      <c r="X55" s="839"/>
      <c r="Y55" s="839"/>
      <c r="Z55" s="839"/>
      <c r="AA55" s="840"/>
      <c r="AB55" s="840"/>
      <c r="AC55" s="840"/>
      <c r="AD55" s="835"/>
      <c r="AE55" s="836"/>
      <c r="AF55" s="836"/>
      <c r="AG55" s="350"/>
      <c r="AH55" s="350"/>
      <c r="AI55" s="350"/>
    </row>
    <row r="56" spans="1:35" s="348" customFormat="1" ht="15" customHeight="1">
      <c r="A56" s="440" t="s">
        <v>257</v>
      </c>
      <c r="B56" s="109" t="s">
        <v>918</v>
      </c>
      <c r="C56" s="834">
        <f t="shared" si="5"/>
        <v>0</v>
      </c>
      <c r="D56" s="834">
        <f t="shared" si="6"/>
        <v>16702</v>
      </c>
      <c r="E56" s="837"/>
      <c r="F56" s="839">
        <v>16702</v>
      </c>
      <c r="G56" s="837"/>
      <c r="H56" s="839"/>
      <c r="I56" s="839"/>
      <c r="J56" s="839"/>
      <c r="K56" s="837"/>
      <c r="L56" s="837"/>
      <c r="M56" s="839"/>
      <c r="N56" s="839"/>
      <c r="O56" s="837"/>
      <c r="P56" s="837"/>
      <c r="Q56" s="837"/>
      <c r="R56" s="837"/>
      <c r="S56" s="837"/>
      <c r="T56" s="839"/>
      <c r="U56" s="839"/>
      <c r="V56" s="839"/>
      <c r="W56" s="839"/>
      <c r="X56" s="839"/>
      <c r="Y56" s="839"/>
      <c r="Z56" s="839"/>
      <c r="AA56" s="840"/>
      <c r="AB56" s="840"/>
      <c r="AC56" s="840"/>
      <c r="AD56" s="835"/>
      <c r="AE56" s="836"/>
      <c r="AF56" s="836"/>
      <c r="AG56" s="350"/>
      <c r="AH56" s="350"/>
      <c r="AI56" s="350"/>
    </row>
    <row r="57" spans="1:35" s="348" customFormat="1" ht="15" customHeight="1">
      <c r="A57" s="440" t="s">
        <v>257</v>
      </c>
      <c r="B57" s="109" t="s">
        <v>561</v>
      </c>
      <c r="C57" s="834">
        <f t="shared" si="5"/>
        <v>14167550</v>
      </c>
      <c r="D57" s="834">
        <f t="shared" si="6"/>
        <v>14167550</v>
      </c>
      <c r="E57" s="837">
        <v>150000</v>
      </c>
      <c r="F57" s="839">
        <v>150000</v>
      </c>
      <c r="G57" s="837">
        <v>17550</v>
      </c>
      <c r="H57" s="839">
        <v>17550</v>
      </c>
      <c r="I57" s="839"/>
      <c r="J57" s="839"/>
      <c r="K57" s="837"/>
      <c r="L57" s="837"/>
      <c r="M57" s="839"/>
      <c r="N57" s="839"/>
      <c r="O57" s="837"/>
      <c r="P57" s="837"/>
      <c r="Q57" s="839"/>
      <c r="R57" s="839"/>
      <c r="S57" s="837"/>
      <c r="T57" s="839"/>
      <c r="U57" s="839">
        <v>14000000</v>
      </c>
      <c r="V57" s="839">
        <v>14000000</v>
      </c>
      <c r="W57" s="839"/>
      <c r="X57" s="839"/>
      <c r="Y57" s="839"/>
      <c r="Z57" s="839"/>
      <c r="AA57" s="840"/>
      <c r="AB57" s="840"/>
      <c r="AC57" s="840"/>
      <c r="AD57" s="835"/>
      <c r="AE57" s="836"/>
      <c r="AF57" s="836"/>
      <c r="AG57" s="350"/>
      <c r="AH57" s="350"/>
      <c r="AI57" s="350"/>
    </row>
    <row r="58" spans="1:35" s="348" customFormat="1" ht="15" customHeight="1">
      <c r="A58" s="440" t="s">
        <v>257</v>
      </c>
      <c r="B58" s="109" t="s">
        <v>919</v>
      </c>
      <c r="C58" s="834">
        <f t="shared" si="5"/>
        <v>0</v>
      </c>
      <c r="D58" s="834">
        <f t="shared" si="6"/>
        <v>37589</v>
      </c>
      <c r="E58" s="837"/>
      <c r="F58" s="839"/>
      <c r="G58" s="837"/>
      <c r="H58" s="839"/>
      <c r="I58" s="839"/>
      <c r="J58" s="839">
        <v>37589</v>
      </c>
      <c r="K58" s="837"/>
      <c r="L58" s="837"/>
      <c r="M58" s="839"/>
      <c r="N58" s="839"/>
      <c r="O58" s="837"/>
      <c r="P58" s="837"/>
      <c r="Q58" s="839"/>
      <c r="R58" s="839"/>
      <c r="S58" s="837"/>
      <c r="T58" s="839"/>
      <c r="U58" s="839"/>
      <c r="V58" s="839"/>
      <c r="W58" s="839"/>
      <c r="X58" s="839"/>
      <c r="Y58" s="839"/>
      <c r="Z58" s="839"/>
      <c r="AA58" s="840"/>
      <c r="AB58" s="840"/>
      <c r="AC58" s="840"/>
      <c r="AD58" s="835"/>
      <c r="AE58" s="836"/>
      <c r="AF58" s="836"/>
      <c r="AG58" s="350"/>
      <c r="AH58" s="350"/>
      <c r="AI58" s="350"/>
    </row>
    <row r="59" spans="1:35" s="348" customFormat="1" ht="15" customHeight="1">
      <c r="A59" s="440" t="s">
        <v>257</v>
      </c>
      <c r="B59" s="109" t="s">
        <v>790</v>
      </c>
      <c r="C59" s="834">
        <f t="shared" si="5"/>
        <v>360114591</v>
      </c>
      <c r="D59" s="834">
        <f t="shared" si="6"/>
        <v>757447591</v>
      </c>
      <c r="E59" s="837"/>
      <c r="F59" s="839"/>
      <c r="G59" s="837"/>
      <c r="H59" s="839"/>
      <c r="I59" s="839">
        <v>101578825</v>
      </c>
      <c r="J59" s="839">
        <v>183951195</v>
      </c>
      <c r="K59" s="837"/>
      <c r="L59" s="837"/>
      <c r="M59" s="839"/>
      <c r="N59" s="839"/>
      <c r="O59" s="837"/>
      <c r="P59" s="837"/>
      <c r="Q59" s="839">
        <v>258535766</v>
      </c>
      <c r="R59" s="839">
        <v>573496396</v>
      </c>
      <c r="S59" s="837"/>
      <c r="T59" s="839"/>
      <c r="U59" s="839"/>
      <c r="V59" s="839"/>
      <c r="W59" s="839"/>
      <c r="X59" s="839"/>
      <c r="Y59" s="839"/>
      <c r="Z59" s="839"/>
      <c r="AA59" s="840"/>
      <c r="AB59" s="840"/>
      <c r="AC59" s="840"/>
      <c r="AD59" s="835"/>
      <c r="AE59" s="836"/>
      <c r="AF59" s="836"/>
      <c r="AG59" s="350"/>
      <c r="AH59" s="350"/>
      <c r="AI59" s="350"/>
    </row>
    <row r="60" spans="1:35" s="348" customFormat="1" ht="15" customHeight="1" hidden="1">
      <c r="A60" s="440" t="s">
        <v>257</v>
      </c>
      <c r="B60" s="109" t="s">
        <v>562</v>
      </c>
      <c r="C60" s="834">
        <f t="shared" si="5"/>
        <v>0</v>
      </c>
      <c r="D60" s="834">
        <f t="shared" si="6"/>
        <v>0</v>
      </c>
      <c r="E60" s="837"/>
      <c r="F60" s="839"/>
      <c r="G60" s="837"/>
      <c r="H60" s="839"/>
      <c r="I60" s="839"/>
      <c r="J60" s="839"/>
      <c r="K60" s="837"/>
      <c r="L60" s="837"/>
      <c r="M60" s="839"/>
      <c r="N60" s="839"/>
      <c r="O60" s="837"/>
      <c r="P60" s="837"/>
      <c r="Q60" s="839"/>
      <c r="R60" s="839"/>
      <c r="S60" s="837"/>
      <c r="T60" s="839"/>
      <c r="U60" s="839"/>
      <c r="V60" s="839"/>
      <c r="W60" s="839"/>
      <c r="X60" s="839"/>
      <c r="Y60" s="839"/>
      <c r="Z60" s="839"/>
      <c r="AA60" s="840"/>
      <c r="AB60" s="840"/>
      <c r="AC60" s="840"/>
      <c r="AD60" s="835"/>
      <c r="AE60" s="836"/>
      <c r="AF60" s="836"/>
      <c r="AG60" s="350"/>
      <c r="AH60" s="350"/>
      <c r="AI60" s="350"/>
    </row>
    <row r="61" spans="1:35" s="348" customFormat="1" ht="15" customHeight="1">
      <c r="A61" s="440" t="s">
        <v>257</v>
      </c>
      <c r="B61" s="109" t="s">
        <v>791</v>
      </c>
      <c r="C61" s="834">
        <f t="shared" si="5"/>
        <v>1151259961</v>
      </c>
      <c r="D61" s="834">
        <f t="shared" si="6"/>
        <v>1153926961</v>
      </c>
      <c r="E61" s="837"/>
      <c r="F61" s="839"/>
      <c r="G61" s="837"/>
      <c r="H61" s="839"/>
      <c r="I61" s="839">
        <v>247639182</v>
      </c>
      <c r="J61" s="839">
        <v>250306182</v>
      </c>
      <c r="K61" s="837"/>
      <c r="L61" s="837"/>
      <c r="M61" s="839"/>
      <c r="N61" s="839"/>
      <c r="O61" s="837"/>
      <c r="P61" s="837"/>
      <c r="Q61" s="839">
        <v>903620779</v>
      </c>
      <c r="R61" s="839">
        <v>903620779</v>
      </c>
      <c r="S61" s="837"/>
      <c r="T61" s="839"/>
      <c r="U61" s="839"/>
      <c r="V61" s="839"/>
      <c r="W61" s="839"/>
      <c r="X61" s="839"/>
      <c r="Y61" s="839"/>
      <c r="Z61" s="839"/>
      <c r="AA61" s="840"/>
      <c r="AB61" s="840"/>
      <c r="AC61" s="840"/>
      <c r="AD61" s="835"/>
      <c r="AE61" s="836"/>
      <c r="AF61" s="836"/>
      <c r="AG61" s="350"/>
      <c r="AH61" s="350"/>
      <c r="AI61" s="350"/>
    </row>
    <row r="62" spans="1:35" s="348" customFormat="1" ht="15" customHeight="1">
      <c r="A62" s="440" t="s">
        <v>257</v>
      </c>
      <c r="B62" s="109" t="s">
        <v>701</v>
      </c>
      <c r="C62" s="834">
        <f t="shared" si="5"/>
        <v>248020904</v>
      </c>
      <c r="D62" s="834">
        <f t="shared" si="6"/>
        <v>248332504</v>
      </c>
      <c r="E62" s="837"/>
      <c r="F62" s="839"/>
      <c r="G62" s="837"/>
      <c r="H62" s="839"/>
      <c r="I62" s="839">
        <v>58505904</v>
      </c>
      <c r="J62" s="839">
        <v>58817504</v>
      </c>
      <c r="K62" s="837"/>
      <c r="L62" s="837"/>
      <c r="M62" s="839"/>
      <c r="N62" s="839"/>
      <c r="O62" s="837"/>
      <c r="P62" s="837"/>
      <c r="Q62" s="839"/>
      <c r="R62" s="839"/>
      <c r="S62" s="837">
        <v>189515000</v>
      </c>
      <c r="T62" s="839">
        <v>189515000</v>
      </c>
      <c r="U62" s="839"/>
      <c r="V62" s="839"/>
      <c r="W62" s="839"/>
      <c r="X62" s="839"/>
      <c r="Y62" s="839"/>
      <c r="Z62" s="839"/>
      <c r="AA62" s="840"/>
      <c r="AB62" s="840"/>
      <c r="AC62" s="840"/>
      <c r="AD62" s="835"/>
      <c r="AE62" s="836"/>
      <c r="AF62" s="836"/>
      <c r="AG62" s="350"/>
      <c r="AH62" s="350"/>
      <c r="AI62" s="350"/>
    </row>
    <row r="63" spans="1:35" s="348" customFormat="1" ht="15" customHeight="1">
      <c r="A63" s="433" t="s">
        <v>257</v>
      </c>
      <c r="B63" s="109" t="s">
        <v>792</v>
      </c>
      <c r="C63" s="834">
        <f t="shared" si="5"/>
        <v>6024700</v>
      </c>
      <c r="D63" s="834">
        <f t="shared" si="6"/>
        <v>0</v>
      </c>
      <c r="E63" s="837"/>
      <c r="F63" s="839"/>
      <c r="G63" s="837"/>
      <c r="H63" s="839"/>
      <c r="I63" s="839">
        <v>6024700</v>
      </c>
      <c r="J63" s="839"/>
      <c r="K63" s="837"/>
      <c r="L63" s="837"/>
      <c r="M63" s="839"/>
      <c r="N63" s="839"/>
      <c r="O63" s="837"/>
      <c r="P63" s="837"/>
      <c r="Q63" s="839"/>
      <c r="R63" s="839"/>
      <c r="S63" s="837"/>
      <c r="T63" s="839"/>
      <c r="U63" s="839"/>
      <c r="V63" s="839"/>
      <c r="W63" s="839"/>
      <c r="X63" s="839"/>
      <c r="Y63" s="839"/>
      <c r="Z63" s="839"/>
      <c r="AA63" s="840"/>
      <c r="AB63" s="840"/>
      <c r="AC63" s="840"/>
      <c r="AD63" s="835"/>
      <c r="AE63" s="836"/>
      <c r="AF63" s="836"/>
      <c r="AG63" s="350"/>
      <c r="AH63" s="350"/>
      <c r="AI63" s="350"/>
    </row>
    <row r="64" spans="1:35" s="348" customFormat="1" ht="15" customHeight="1">
      <c r="A64" s="440" t="s">
        <v>257</v>
      </c>
      <c r="B64" s="109" t="s">
        <v>582</v>
      </c>
      <c r="C64" s="834">
        <f t="shared" si="5"/>
        <v>163851530</v>
      </c>
      <c r="D64" s="834">
        <f aca="true" t="shared" si="7" ref="D64:D71">F64+H64+J64+L64+N64+P64+R64+T64+V64+X64+Z64+AB64+AD64</f>
        <v>187968347</v>
      </c>
      <c r="E64" s="837"/>
      <c r="F64" s="839"/>
      <c r="G64" s="837"/>
      <c r="H64" s="839"/>
      <c r="I64" s="839"/>
      <c r="J64" s="839"/>
      <c r="K64" s="837">
        <v>163851530</v>
      </c>
      <c r="L64" s="839">
        <v>187888347</v>
      </c>
      <c r="M64" s="839"/>
      <c r="N64" s="839"/>
      <c r="O64" s="837"/>
      <c r="P64" s="837"/>
      <c r="Q64" s="837"/>
      <c r="R64" s="839"/>
      <c r="S64" s="837"/>
      <c r="T64" s="839"/>
      <c r="U64" s="839"/>
      <c r="V64" s="839">
        <v>80000</v>
      </c>
      <c r="W64" s="839"/>
      <c r="X64" s="839"/>
      <c r="Y64" s="839"/>
      <c r="Z64" s="839"/>
      <c r="AA64" s="840"/>
      <c r="AB64" s="840"/>
      <c r="AC64" s="840"/>
      <c r="AD64" s="835"/>
      <c r="AE64" s="836"/>
      <c r="AF64" s="836"/>
      <c r="AG64" s="350"/>
      <c r="AH64" s="350"/>
      <c r="AI64" s="350"/>
    </row>
    <row r="65" spans="1:35" s="348" customFormat="1" ht="15" customHeight="1">
      <c r="A65" s="440" t="s">
        <v>257</v>
      </c>
      <c r="B65" s="109" t="s">
        <v>787</v>
      </c>
      <c r="C65" s="834">
        <f t="shared" si="5"/>
        <v>3000000</v>
      </c>
      <c r="D65" s="834">
        <f t="shared" si="7"/>
        <v>212562</v>
      </c>
      <c r="E65" s="837"/>
      <c r="F65" s="839"/>
      <c r="G65" s="837"/>
      <c r="H65" s="837"/>
      <c r="I65" s="839"/>
      <c r="J65" s="837"/>
      <c r="K65" s="837">
        <v>3000000</v>
      </c>
      <c r="L65" s="839">
        <v>212562</v>
      </c>
      <c r="M65" s="839"/>
      <c r="N65" s="839"/>
      <c r="O65" s="837"/>
      <c r="P65" s="837"/>
      <c r="Q65" s="837"/>
      <c r="R65" s="839"/>
      <c r="S65" s="837"/>
      <c r="T65" s="839"/>
      <c r="U65" s="839"/>
      <c r="V65" s="839"/>
      <c r="W65" s="839"/>
      <c r="X65" s="839"/>
      <c r="Y65" s="839"/>
      <c r="Z65" s="839"/>
      <c r="AA65" s="840"/>
      <c r="AB65" s="840"/>
      <c r="AC65" s="840"/>
      <c r="AD65" s="835"/>
      <c r="AE65" s="836"/>
      <c r="AF65" s="836"/>
      <c r="AG65" s="350"/>
      <c r="AH65" s="350"/>
      <c r="AI65" s="350"/>
    </row>
    <row r="66" spans="1:35" s="348" customFormat="1" ht="15" customHeight="1">
      <c r="A66" s="440" t="s">
        <v>257</v>
      </c>
      <c r="B66" s="109" t="s">
        <v>581</v>
      </c>
      <c r="C66" s="834">
        <f aca="true" t="shared" si="8" ref="C66:C71">E66+G66+I66+K66+M66+O66+Q66+S66+U66+W66+Y66+AA66+AC66</f>
        <v>282736616</v>
      </c>
      <c r="D66" s="834">
        <f t="shared" si="7"/>
        <v>290257713</v>
      </c>
      <c r="E66" s="837"/>
      <c r="F66" s="839"/>
      <c r="G66" s="837"/>
      <c r="H66" s="837"/>
      <c r="I66" s="839"/>
      <c r="J66" s="837"/>
      <c r="K66" s="837"/>
      <c r="L66" s="837"/>
      <c r="M66" s="837"/>
      <c r="N66" s="837"/>
      <c r="O66" s="837"/>
      <c r="P66" s="837"/>
      <c r="Q66" s="837"/>
      <c r="R66" s="839">
        <v>4572000</v>
      </c>
      <c r="S66" s="837"/>
      <c r="T66" s="839"/>
      <c r="U66" s="839"/>
      <c r="V66" s="839"/>
      <c r="W66" s="839"/>
      <c r="X66" s="839"/>
      <c r="Y66" s="839"/>
      <c r="Z66" s="839"/>
      <c r="AA66" s="840">
        <v>282736616</v>
      </c>
      <c r="AB66" s="840">
        <v>285685713</v>
      </c>
      <c r="AC66" s="840"/>
      <c r="AD66" s="835"/>
      <c r="AE66" s="836"/>
      <c r="AF66" s="836"/>
      <c r="AG66" s="350"/>
      <c r="AH66" s="350"/>
      <c r="AI66" s="350"/>
    </row>
    <row r="67" spans="1:35" s="348" customFormat="1" ht="15" customHeight="1">
      <c r="A67" s="440" t="s">
        <v>257</v>
      </c>
      <c r="B67" s="109" t="s">
        <v>563</v>
      </c>
      <c r="C67" s="834">
        <f t="shared" si="8"/>
        <v>84264728</v>
      </c>
      <c r="D67" s="834">
        <f t="shared" si="7"/>
        <v>104032018</v>
      </c>
      <c r="E67" s="837"/>
      <c r="F67" s="839"/>
      <c r="G67" s="837"/>
      <c r="H67" s="837"/>
      <c r="I67" s="839"/>
      <c r="J67" s="837"/>
      <c r="K67" s="837"/>
      <c r="L67" s="837"/>
      <c r="M67" s="837"/>
      <c r="N67" s="837"/>
      <c r="O67" s="837"/>
      <c r="P67" s="837"/>
      <c r="Q67" s="837"/>
      <c r="R67" s="839">
        <v>16458946</v>
      </c>
      <c r="S67" s="837"/>
      <c r="T67" s="839"/>
      <c r="U67" s="839"/>
      <c r="V67" s="839"/>
      <c r="W67" s="839"/>
      <c r="X67" s="839"/>
      <c r="Y67" s="839"/>
      <c r="Z67" s="839"/>
      <c r="AA67" s="840">
        <v>84264728</v>
      </c>
      <c r="AB67" s="840">
        <v>87573072</v>
      </c>
      <c r="AC67" s="840"/>
      <c r="AD67" s="835"/>
      <c r="AE67" s="836"/>
      <c r="AF67" s="836"/>
      <c r="AG67" s="350"/>
      <c r="AH67" s="350"/>
      <c r="AI67" s="350"/>
    </row>
    <row r="68" spans="1:35" s="348" customFormat="1" ht="15" customHeight="1">
      <c r="A68" s="440" t="s">
        <v>257</v>
      </c>
      <c r="B68" s="109" t="s">
        <v>546</v>
      </c>
      <c r="C68" s="834">
        <f t="shared" si="8"/>
        <v>232211841</v>
      </c>
      <c r="D68" s="834">
        <f t="shared" si="7"/>
        <v>235873862</v>
      </c>
      <c r="E68" s="837"/>
      <c r="F68" s="839"/>
      <c r="G68" s="839"/>
      <c r="H68" s="839"/>
      <c r="I68" s="839"/>
      <c r="J68" s="839">
        <v>300000</v>
      </c>
      <c r="K68" s="837"/>
      <c r="L68" s="837"/>
      <c r="M68" s="837"/>
      <c r="N68" s="837"/>
      <c r="O68" s="837"/>
      <c r="P68" s="837"/>
      <c r="Q68" s="837"/>
      <c r="R68" s="839">
        <v>370770</v>
      </c>
      <c r="S68" s="837"/>
      <c r="T68" s="839">
        <v>1362495</v>
      </c>
      <c r="U68" s="839"/>
      <c r="V68" s="839"/>
      <c r="W68" s="839"/>
      <c r="X68" s="839"/>
      <c r="Y68" s="839"/>
      <c r="Z68" s="839"/>
      <c r="AA68" s="840">
        <v>232211841</v>
      </c>
      <c r="AB68" s="840">
        <v>233840597</v>
      </c>
      <c r="AC68" s="840"/>
      <c r="AD68" s="835"/>
      <c r="AE68" s="836"/>
      <c r="AF68" s="836"/>
      <c r="AG68" s="350"/>
      <c r="AH68" s="350"/>
      <c r="AI68" s="350"/>
    </row>
    <row r="69" spans="1:35" s="348" customFormat="1" ht="15" customHeight="1">
      <c r="A69" s="440" t="s">
        <v>257</v>
      </c>
      <c r="B69" s="109" t="s">
        <v>235</v>
      </c>
      <c r="C69" s="834">
        <f t="shared" si="8"/>
        <v>325943947</v>
      </c>
      <c r="D69" s="834">
        <f t="shared" si="7"/>
        <v>398088254</v>
      </c>
      <c r="E69" s="837"/>
      <c r="F69" s="839"/>
      <c r="G69" s="839"/>
      <c r="H69" s="839"/>
      <c r="I69" s="839"/>
      <c r="J69" s="839"/>
      <c r="K69" s="837"/>
      <c r="L69" s="837"/>
      <c r="M69" s="837"/>
      <c r="N69" s="837"/>
      <c r="O69" s="837"/>
      <c r="P69" s="837"/>
      <c r="Q69" s="837"/>
      <c r="R69" s="839"/>
      <c r="S69" s="837"/>
      <c r="T69" s="839"/>
      <c r="U69" s="839"/>
      <c r="V69" s="839"/>
      <c r="W69" s="839"/>
      <c r="X69" s="839"/>
      <c r="Y69" s="839"/>
      <c r="Z69" s="839"/>
      <c r="AA69" s="840">
        <v>325943947</v>
      </c>
      <c r="AB69" s="840">
        <v>398088254</v>
      </c>
      <c r="AC69" s="840"/>
      <c r="AD69" s="835"/>
      <c r="AE69" s="836"/>
      <c r="AF69" s="836"/>
      <c r="AG69" s="350"/>
      <c r="AH69" s="350"/>
      <c r="AI69" s="350"/>
    </row>
    <row r="70" spans="1:35" s="348" customFormat="1" ht="15" customHeight="1">
      <c r="A70" s="440" t="s">
        <v>257</v>
      </c>
      <c r="B70" s="109" t="s">
        <v>348</v>
      </c>
      <c r="C70" s="834">
        <f t="shared" si="8"/>
        <v>203050682</v>
      </c>
      <c r="D70" s="834">
        <f t="shared" si="7"/>
        <v>200858136</v>
      </c>
      <c r="E70" s="837"/>
      <c r="F70" s="839"/>
      <c r="G70" s="837"/>
      <c r="H70" s="839"/>
      <c r="I70" s="837"/>
      <c r="J70" s="839"/>
      <c r="K70" s="837"/>
      <c r="L70" s="837"/>
      <c r="M70" s="837"/>
      <c r="N70" s="837"/>
      <c r="O70" s="837"/>
      <c r="P70" s="837"/>
      <c r="Q70" s="837"/>
      <c r="R70" s="839"/>
      <c r="S70" s="837"/>
      <c r="T70" s="839"/>
      <c r="U70" s="839"/>
      <c r="V70" s="839"/>
      <c r="W70" s="839"/>
      <c r="X70" s="839"/>
      <c r="Y70" s="839"/>
      <c r="Z70" s="839"/>
      <c r="AA70" s="840">
        <v>203050682</v>
      </c>
      <c r="AB70" s="840">
        <f>203050682+1450000-3642546</f>
        <v>200858136</v>
      </c>
      <c r="AC70" s="840"/>
      <c r="AD70" s="835"/>
      <c r="AE70" s="836"/>
      <c r="AF70" s="836"/>
      <c r="AG70" s="350"/>
      <c r="AH70" s="350"/>
      <c r="AI70" s="350"/>
    </row>
    <row r="71" spans="1:35" s="348" customFormat="1" ht="15" customHeight="1">
      <c r="A71" s="437"/>
      <c r="B71" s="441"/>
      <c r="C71" s="834">
        <f t="shared" si="8"/>
        <v>0</v>
      </c>
      <c r="D71" s="834">
        <f t="shared" si="7"/>
        <v>0</v>
      </c>
      <c r="E71" s="837"/>
      <c r="F71" s="839"/>
      <c r="G71" s="837"/>
      <c r="H71" s="837"/>
      <c r="I71" s="837"/>
      <c r="J71" s="839"/>
      <c r="K71" s="837"/>
      <c r="L71" s="837"/>
      <c r="M71" s="837"/>
      <c r="N71" s="837"/>
      <c r="O71" s="837"/>
      <c r="P71" s="837"/>
      <c r="Q71" s="837"/>
      <c r="R71" s="837"/>
      <c r="S71" s="837"/>
      <c r="T71" s="839"/>
      <c r="U71" s="839"/>
      <c r="V71" s="839"/>
      <c r="W71" s="839"/>
      <c r="X71" s="839"/>
      <c r="Y71" s="839"/>
      <c r="Z71" s="839"/>
      <c r="AA71" s="840"/>
      <c r="AB71" s="840"/>
      <c r="AC71" s="840"/>
      <c r="AD71" s="835"/>
      <c r="AE71" s="836"/>
      <c r="AF71" s="836"/>
      <c r="AG71" s="350"/>
      <c r="AH71" s="350"/>
      <c r="AI71" s="350"/>
    </row>
    <row r="72" spans="1:35" s="348" customFormat="1" ht="8.25" customHeight="1">
      <c r="A72" s="437"/>
      <c r="B72" s="441"/>
      <c r="C72" s="834"/>
      <c r="D72" s="834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  <c r="Q72" s="837"/>
      <c r="R72" s="837"/>
      <c r="S72" s="837"/>
      <c r="T72" s="839"/>
      <c r="U72" s="839"/>
      <c r="V72" s="839"/>
      <c r="W72" s="839"/>
      <c r="X72" s="839"/>
      <c r="Y72" s="839"/>
      <c r="Z72" s="839"/>
      <c r="AA72" s="840"/>
      <c r="AB72" s="840"/>
      <c r="AC72" s="840"/>
      <c r="AD72" s="835"/>
      <c r="AE72" s="836"/>
      <c r="AF72" s="836"/>
      <c r="AG72" s="350"/>
      <c r="AH72" s="350"/>
      <c r="AI72" s="350"/>
    </row>
    <row r="73" spans="1:35" s="348" customFormat="1" ht="15" customHeight="1">
      <c r="A73" s="439"/>
      <c r="B73" s="522" t="s">
        <v>71</v>
      </c>
      <c r="C73" s="834">
        <f>E73+G73+I73+K73+M73+O73+Q73+S73+U73+W73+Y73+AA73+AC73</f>
        <v>4964118147</v>
      </c>
      <c r="D73" s="834">
        <f>F73+H73+J73+L73+N73+P73+R73+T73+V73+X73+Z73+AB73+AD73</f>
        <v>6321586518</v>
      </c>
      <c r="E73" s="841">
        <f aca="true" t="shared" si="9" ref="E73:AD73">SUM(E10:E71)</f>
        <v>111863833</v>
      </c>
      <c r="F73" s="842">
        <f t="shared" si="9"/>
        <v>121375748</v>
      </c>
      <c r="G73" s="842">
        <f t="shared" si="9"/>
        <v>14460869</v>
      </c>
      <c r="H73" s="842">
        <f t="shared" si="9"/>
        <v>14799918</v>
      </c>
      <c r="I73" s="842">
        <f t="shared" si="9"/>
        <v>833763730</v>
      </c>
      <c r="J73" s="842">
        <f t="shared" si="9"/>
        <v>913626907</v>
      </c>
      <c r="K73" s="842">
        <f t="shared" si="9"/>
        <v>253377637</v>
      </c>
      <c r="L73" s="842">
        <f t="shared" si="9"/>
        <v>272550783</v>
      </c>
      <c r="M73" s="842">
        <f t="shared" si="9"/>
        <v>6300000</v>
      </c>
      <c r="N73" s="842">
        <f t="shared" si="9"/>
        <v>6570637</v>
      </c>
      <c r="O73" s="842">
        <f t="shared" si="9"/>
        <v>36684403</v>
      </c>
      <c r="P73" s="842">
        <f t="shared" si="9"/>
        <v>323699279</v>
      </c>
      <c r="Q73" s="842">
        <f t="shared" si="9"/>
        <v>1546169620</v>
      </c>
      <c r="R73" s="842">
        <f t="shared" si="9"/>
        <v>2114569725</v>
      </c>
      <c r="S73" s="842">
        <f t="shared" si="9"/>
        <v>899468511</v>
      </c>
      <c r="T73" s="842">
        <f t="shared" si="9"/>
        <v>1212663670</v>
      </c>
      <c r="U73" s="842">
        <f t="shared" si="9"/>
        <v>31000000</v>
      </c>
      <c r="V73" s="842">
        <f>SUM(V10:V71)</f>
        <v>32380000</v>
      </c>
      <c r="W73" s="842">
        <f t="shared" si="9"/>
        <v>65100000</v>
      </c>
      <c r="X73" s="842">
        <f t="shared" si="9"/>
        <v>65100000</v>
      </c>
      <c r="Y73" s="842">
        <f t="shared" si="9"/>
        <v>37721730</v>
      </c>
      <c r="Z73" s="842">
        <f t="shared" si="9"/>
        <v>38204079</v>
      </c>
      <c r="AA73" s="842">
        <f t="shared" si="9"/>
        <v>1128207814</v>
      </c>
      <c r="AB73" s="842">
        <f t="shared" si="9"/>
        <v>1206045772</v>
      </c>
      <c r="AC73" s="842">
        <f t="shared" si="9"/>
        <v>0</v>
      </c>
      <c r="AD73" s="841">
        <f t="shared" si="9"/>
        <v>0</v>
      </c>
      <c r="AE73" s="836"/>
      <c r="AF73" s="836"/>
      <c r="AG73" s="350"/>
      <c r="AH73" s="350"/>
      <c r="AI73" s="350"/>
    </row>
    <row r="74" spans="1:35" s="348" customFormat="1" ht="6.75" customHeight="1">
      <c r="A74" s="439"/>
      <c r="B74" s="351"/>
      <c r="C74" s="834"/>
      <c r="D74" s="834"/>
      <c r="E74" s="841"/>
      <c r="F74" s="841"/>
      <c r="G74" s="841"/>
      <c r="H74" s="841"/>
      <c r="I74" s="841"/>
      <c r="J74" s="841"/>
      <c r="K74" s="841"/>
      <c r="L74" s="842"/>
      <c r="M74" s="842"/>
      <c r="N74" s="842"/>
      <c r="O74" s="842"/>
      <c r="P74" s="842"/>
      <c r="Q74" s="842"/>
      <c r="R74" s="842"/>
      <c r="S74" s="842"/>
      <c r="T74" s="842"/>
      <c r="U74" s="842"/>
      <c r="V74" s="842"/>
      <c r="W74" s="842"/>
      <c r="X74" s="842"/>
      <c r="Y74" s="842"/>
      <c r="Z74" s="842"/>
      <c r="AA74" s="842"/>
      <c r="AB74" s="842"/>
      <c r="AC74" s="840"/>
      <c r="AD74" s="835"/>
      <c r="AE74" s="836"/>
      <c r="AF74" s="836"/>
      <c r="AG74" s="350"/>
      <c r="AH74" s="350"/>
      <c r="AI74" s="350"/>
    </row>
    <row r="75" spans="1:35" s="348" customFormat="1" ht="15" customHeight="1">
      <c r="A75" s="439"/>
      <c r="B75" s="522" t="s">
        <v>564</v>
      </c>
      <c r="C75" s="841">
        <f>C73-C77-C79</f>
        <v>4954847943</v>
      </c>
      <c r="D75" s="841">
        <f aca="true" t="shared" si="10" ref="D75:AD75">D73-D77-D79</f>
        <v>6302640534</v>
      </c>
      <c r="E75" s="841">
        <f t="shared" si="10"/>
        <v>111363833</v>
      </c>
      <c r="F75" s="841">
        <f t="shared" si="10"/>
        <v>116941460</v>
      </c>
      <c r="G75" s="841">
        <f t="shared" si="10"/>
        <v>14251065</v>
      </c>
      <c r="H75" s="841">
        <f t="shared" si="10"/>
        <v>14084126</v>
      </c>
      <c r="I75" s="841">
        <f t="shared" si="10"/>
        <v>833503330</v>
      </c>
      <c r="J75" s="841">
        <f t="shared" si="10"/>
        <v>911496222</v>
      </c>
      <c r="K75" s="841">
        <f t="shared" si="10"/>
        <v>245077637</v>
      </c>
      <c r="L75" s="842">
        <f t="shared" si="10"/>
        <v>261226527</v>
      </c>
      <c r="M75" s="842">
        <f t="shared" si="10"/>
        <v>6300000</v>
      </c>
      <c r="N75" s="842">
        <f t="shared" si="10"/>
        <v>6570637</v>
      </c>
      <c r="O75" s="842">
        <f t="shared" si="10"/>
        <v>36684403</v>
      </c>
      <c r="P75" s="842">
        <f t="shared" si="10"/>
        <v>323699279</v>
      </c>
      <c r="Q75" s="842">
        <f t="shared" si="10"/>
        <v>1546169620</v>
      </c>
      <c r="R75" s="842">
        <f t="shared" si="10"/>
        <v>2114569725</v>
      </c>
      <c r="S75" s="842">
        <f t="shared" si="10"/>
        <v>899468511</v>
      </c>
      <c r="T75" s="842">
        <f t="shared" si="10"/>
        <v>1212622707</v>
      </c>
      <c r="U75" s="842">
        <f t="shared" si="10"/>
        <v>31000000</v>
      </c>
      <c r="V75" s="842">
        <f t="shared" si="10"/>
        <v>32080000</v>
      </c>
      <c r="W75" s="842">
        <f t="shared" si="10"/>
        <v>65100000</v>
      </c>
      <c r="X75" s="842">
        <f t="shared" si="10"/>
        <v>65100000</v>
      </c>
      <c r="Y75" s="842">
        <f t="shared" si="10"/>
        <v>37721730</v>
      </c>
      <c r="Z75" s="842">
        <f t="shared" si="10"/>
        <v>38204079</v>
      </c>
      <c r="AA75" s="842">
        <f t="shared" si="10"/>
        <v>1128207814</v>
      </c>
      <c r="AB75" s="842">
        <f t="shared" si="10"/>
        <v>1206045772</v>
      </c>
      <c r="AC75" s="842">
        <f t="shared" si="10"/>
        <v>0</v>
      </c>
      <c r="AD75" s="841">
        <f t="shared" si="10"/>
        <v>0</v>
      </c>
      <c r="AE75" s="836"/>
      <c r="AF75" s="836"/>
      <c r="AG75" s="350"/>
      <c r="AH75" s="350"/>
      <c r="AI75" s="350"/>
    </row>
    <row r="76" spans="1:35" s="348" customFormat="1" ht="6.75" customHeight="1">
      <c r="A76" s="439"/>
      <c r="B76" s="351"/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4"/>
      <c r="Q76" s="834"/>
      <c r="R76" s="834"/>
      <c r="S76" s="834"/>
      <c r="T76" s="834"/>
      <c r="U76" s="834"/>
      <c r="V76" s="834"/>
      <c r="W76" s="834"/>
      <c r="X76" s="834"/>
      <c r="Y76" s="834"/>
      <c r="Z76" s="834"/>
      <c r="AA76" s="834"/>
      <c r="AB76" s="834"/>
      <c r="AC76" s="834"/>
      <c r="AD76" s="834"/>
      <c r="AE76" s="836"/>
      <c r="AF76" s="836"/>
      <c r="AG76" s="350"/>
      <c r="AH76" s="350"/>
      <c r="AI76" s="350"/>
    </row>
    <row r="77" spans="1:35" s="348" customFormat="1" ht="15" customHeight="1">
      <c r="A77" s="439"/>
      <c r="B77" s="522" t="s">
        <v>565</v>
      </c>
      <c r="C77" s="841">
        <f>C47+C43+C35+C13</f>
        <v>9270204</v>
      </c>
      <c r="D77" s="841">
        <f aca="true" t="shared" si="11" ref="D77:AD77">D47+D43+D35+D13</f>
        <v>18945984</v>
      </c>
      <c r="E77" s="841">
        <f t="shared" si="11"/>
        <v>500000</v>
      </c>
      <c r="F77" s="841">
        <f t="shared" si="11"/>
        <v>4434288</v>
      </c>
      <c r="G77" s="841">
        <f t="shared" si="11"/>
        <v>209804</v>
      </c>
      <c r="H77" s="841">
        <f t="shared" si="11"/>
        <v>715792</v>
      </c>
      <c r="I77" s="841">
        <f t="shared" si="11"/>
        <v>260400</v>
      </c>
      <c r="J77" s="841">
        <f t="shared" si="11"/>
        <v>2130685</v>
      </c>
      <c r="K77" s="841">
        <f t="shared" si="11"/>
        <v>8300000</v>
      </c>
      <c r="L77" s="841">
        <f t="shared" si="11"/>
        <v>11324256</v>
      </c>
      <c r="M77" s="841">
        <f t="shared" si="11"/>
        <v>0</v>
      </c>
      <c r="N77" s="841">
        <f t="shared" si="11"/>
        <v>0</v>
      </c>
      <c r="O77" s="841">
        <f t="shared" si="11"/>
        <v>0</v>
      </c>
      <c r="P77" s="841">
        <f t="shared" si="11"/>
        <v>0</v>
      </c>
      <c r="Q77" s="841">
        <f t="shared" si="11"/>
        <v>0</v>
      </c>
      <c r="R77" s="841">
        <f t="shared" si="11"/>
        <v>0</v>
      </c>
      <c r="S77" s="841">
        <f t="shared" si="11"/>
        <v>0</v>
      </c>
      <c r="T77" s="841">
        <f t="shared" si="11"/>
        <v>40963</v>
      </c>
      <c r="U77" s="841">
        <f t="shared" si="11"/>
        <v>0</v>
      </c>
      <c r="V77" s="841">
        <f t="shared" si="11"/>
        <v>300000</v>
      </c>
      <c r="W77" s="841">
        <f t="shared" si="11"/>
        <v>0</v>
      </c>
      <c r="X77" s="841">
        <f t="shared" si="11"/>
        <v>0</v>
      </c>
      <c r="Y77" s="841">
        <f t="shared" si="11"/>
        <v>0</v>
      </c>
      <c r="Z77" s="841">
        <f t="shared" si="11"/>
        <v>0</v>
      </c>
      <c r="AA77" s="841">
        <f t="shared" si="11"/>
        <v>0</v>
      </c>
      <c r="AB77" s="841">
        <f t="shared" si="11"/>
        <v>0</v>
      </c>
      <c r="AC77" s="841">
        <f t="shared" si="11"/>
        <v>0</v>
      </c>
      <c r="AD77" s="841">
        <f t="shared" si="11"/>
        <v>0</v>
      </c>
      <c r="AE77" s="836"/>
      <c r="AF77" s="836"/>
      <c r="AG77" s="350"/>
      <c r="AH77" s="350"/>
      <c r="AI77" s="350"/>
    </row>
    <row r="78" spans="1:32" s="354" customFormat="1" ht="6" customHeight="1">
      <c r="A78" s="352"/>
      <c r="B78" s="352"/>
      <c r="C78" s="843"/>
      <c r="D78" s="843"/>
      <c r="E78" s="843"/>
      <c r="F78" s="843"/>
      <c r="G78" s="843"/>
      <c r="H78" s="843"/>
      <c r="I78" s="843"/>
      <c r="J78" s="843"/>
      <c r="K78" s="843"/>
      <c r="L78" s="843"/>
      <c r="M78" s="843"/>
      <c r="N78" s="843"/>
      <c r="O78" s="843"/>
      <c r="P78" s="843"/>
      <c r="Q78" s="843"/>
      <c r="R78" s="843"/>
      <c r="S78" s="843"/>
      <c r="T78" s="843"/>
      <c r="U78" s="843"/>
      <c r="V78" s="843"/>
      <c r="W78" s="843"/>
      <c r="X78" s="843"/>
      <c r="Y78" s="843"/>
      <c r="Z78" s="843"/>
      <c r="AA78" s="843"/>
      <c r="AB78" s="843"/>
      <c r="AC78" s="843"/>
      <c r="AD78" s="843"/>
      <c r="AE78" s="844"/>
      <c r="AF78" s="844"/>
    </row>
    <row r="79" spans="1:32" s="354" customFormat="1" ht="15" customHeight="1">
      <c r="A79" s="352"/>
      <c r="B79" s="522" t="s">
        <v>566</v>
      </c>
      <c r="C79" s="841">
        <v>0</v>
      </c>
      <c r="D79" s="841">
        <v>0</v>
      </c>
      <c r="E79" s="841">
        <v>0</v>
      </c>
      <c r="F79" s="841">
        <v>0</v>
      </c>
      <c r="G79" s="841">
        <v>0</v>
      </c>
      <c r="H79" s="841">
        <v>0</v>
      </c>
      <c r="I79" s="841">
        <v>0</v>
      </c>
      <c r="J79" s="841">
        <v>0</v>
      </c>
      <c r="K79" s="841">
        <v>0</v>
      </c>
      <c r="L79" s="841">
        <v>0</v>
      </c>
      <c r="M79" s="841">
        <v>0</v>
      </c>
      <c r="N79" s="841">
        <v>0</v>
      </c>
      <c r="O79" s="841">
        <v>0</v>
      </c>
      <c r="P79" s="841">
        <v>0</v>
      </c>
      <c r="Q79" s="841">
        <v>0</v>
      </c>
      <c r="R79" s="841">
        <v>0</v>
      </c>
      <c r="S79" s="841">
        <v>0</v>
      </c>
      <c r="T79" s="841">
        <v>0</v>
      </c>
      <c r="U79" s="841">
        <v>0</v>
      </c>
      <c r="V79" s="841">
        <v>0</v>
      </c>
      <c r="W79" s="841">
        <v>0</v>
      </c>
      <c r="X79" s="841">
        <v>0</v>
      </c>
      <c r="Y79" s="841">
        <v>0</v>
      </c>
      <c r="Z79" s="841">
        <v>0</v>
      </c>
      <c r="AA79" s="841">
        <v>0</v>
      </c>
      <c r="AB79" s="841">
        <v>0</v>
      </c>
      <c r="AC79" s="841">
        <v>0</v>
      </c>
      <c r="AD79" s="841">
        <v>0</v>
      </c>
      <c r="AE79" s="844"/>
      <c r="AF79" s="844"/>
    </row>
    <row r="80" spans="1:32" s="354" customFormat="1" ht="15" customHeight="1" hidden="1">
      <c r="A80" s="352"/>
      <c r="B80" s="352"/>
      <c r="C80" s="845">
        <f>C75+C77</f>
        <v>4964118147</v>
      </c>
      <c r="D80" s="845">
        <f>D75+D77</f>
        <v>6321586518</v>
      </c>
      <c r="E80" s="845">
        <f>E75+E77</f>
        <v>111863833</v>
      </c>
      <c r="F80" s="845">
        <f aca="true" t="shared" si="12" ref="F80:AD80">F75+F77</f>
        <v>121375748</v>
      </c>
      <c r="G80" s="845">
        <f>G75+G77</f>
        <v>14460869</v>
      </c>
      <c r="H80" s="845">
        <f t="shared" si="12"/>
        <v>14799918</v>
      </c>
      <c r="I80" s="845">
        <f>I75+I77</f>
        <v>833763730</v>
      </c>
      <c r="J80" s="845">
        <f t="shared" si="12"/>
        <v>913626907</v>
      </c>
      <c r="K80" s="845">
        <f>K75+K77</f>
        <v>253377637</v>
      </c>
      <c r="L80" s="845">
        <f t="shared" si="12"/>
        <v>272550783</v>
      </c>
      <c r="M80" s="845">
        <f>M75+M77</f>
        <v>6300000</v>
      </c>
      <c r="N80" s="845">
        <f t="shared" si="12"/>
        <v>6570637</v>
      </c>
      <c r="O80" s="845">
        <f>O75+O77</f>
        <v>36684403</v>
      </c>
      <c r="P80" s="845">
        <f t="shared" si="12"/>
        <v>323699279</v>
      </c>
      <c r="Q80" s="845">
        <f>Q75+Q77</f>
        <v>1546169620</v>
      </c>
      <c r="R80" s="845">
        <f t="shared" si="12"/>
        <v>2114569725</v>
      </c>
      <c r="S80" s="845">
        <f>S75+S77</f>
        <v>899468511</v>
      </c>
      <c r="T80" s="845">
        <f t="shared" si="12"/>
        <v>1212663670</v>
      </c>
      <c r="U80" s="845">
        <f>U75+U77</f>
        <v>31000000</v>
      </c>
      <c r="V80" s="845">
        <f t="shared" si="12"/>
        <v>32380000</v>
      </c>
      <c r="W80" s="845">
        <f>W75+W77</f>
        <v>65100000</v>
      </c>
      <c r="X80" s="845">
        <f t="shared" si="12"/>
        <v>65100000</v>
      </c>
      <c r="Y80" s="845">
        <f>Y75+Y77</f>
        <v>37721730</v>
      </c>
      <c r="Z80" s="845">
        <f t="shared" si="12"/>
        <v>38204079</v>
      </c>
      <c r="AA80" s="845">
        <f>AA75+AA77</f>
        <v>1128207814</v>
      </c>
      <c r="AB80" s="845">
        <f t="shared" si="12"/>
        <v>1206045772</v>
      </c>
      <c r="AC80" s="845">
        <f>AC75+AC77</f>
        <v>0</v>
      </c>
      <c r="AD80" s="845">
        <f t="shared" si="12"/>
        <v>0</v>
      </c>
      <c r="AE80" s="844"/>
      <c r="AF80" s="844"/>
    </row>
    <row r="81" spans="3:32" s="354" customFormat="1" ht="15" customHeight="1">
      <c r="C81" s="844"/>
      <c r="D81" s="844"/>
      <c r="E81" s="844"/>
      <c r="F81" s="844"/>
      <c r="G81" s="844"/>
      <c r="H81" s="844"/>
      <c r="I81" s="844"/>
      <c r="J81" s="844"/>
      <c r="K81" s="844"/>
      <c r="L81" s="844"/>
      <c r="M81" s="844"/>
      <c r="N81" s="844"/>
      <c r="O81" s="844"/>
      <c r="P81" s="844"/>
      <c r="Q81" s="844"/>
      <c r="R81" s="844"/>
      <c r="S81" s="844"/>
      <c r="T81" s="844"/>
      <c r="U81" s="844"/>
      <c r="V81" s="844"/>
      <c r="W81" s="844"/>
      <c r="X81" s="844"/>
      <c r="Y81" s="844"/>
      <c r="Z81" s="844"/>
      <c r="AA81" s="844"/>
      <c r="AB81" s="844"/>
      <c r="AC81" s="844"/>
      <c r="AD81" s="844"/>
      <c r="AE81" s="844"/>
      <c r="AF81" s="844"/>
    </row>
    <row r="82" spans="3:32" s="343" customFormat="1" ht="15" customHeight="1">
      <c r="C82" s="846"/>
      <c r="D82" s="846"/>
      <c r="E82" s="846"/>
      <c r="F82" s="846"/>
      <c r="G82" s="846"/>
      <c r="H82" s="846"/>
      <c r="I82" s="846"/>
      <c r="J82" s="846"/>
      <c r="K82" s="846"/>
      <c r="L82" s="846"/>
      <c r="M82" s="846"/>
      <c r="N82" s="846"/>
      <c r="O82" s="846"/>
      <c r="P82" s="846"/>
      <c r="Q82" s="846"/>
      <c r="R82" s="846"/>
      <c r="S82" s="846"/>
      <c r="T82" s="846"/>
      <c r="U82" s="846"/>
      <c r="V82" s="846"/>
      <c r="W82" s="846"/>
      <c r="X82" s="846"/>
      <c r="Y82" s="846"/>
      <c r="Z82" s="846"/>
      <c r="AA82" s="846"/>
      <c r="AB82" s="846"/>
      <c r="AC82" s="846"/>
      <c r="AD82" s="846"/>
      <c r="AE82" s="846"/>
      <c r="AF82" s="846"/>
    </row>
    <row r="83" spans="3:31" s="354" customFormat="1" ht="15" customHeight="1">
      <c r="C83" s="353"/>
      <c r="D83" s="488"/>
      <c r="E83" s="353"/>
      <c r="F83" s="353"/>
      <c r="G83" s="353"/>
      <c r="H83" s="353"/>
      <c r="I83" s="353"/>
      <c r="J83" s="353"/>
      <c r="K83" s="353"/>
      <c r="L83" s="429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 t="s">
        <v>921</v>
      </c>
      <c r="Y83" s="353"/>
      <c r="Z83" s="353"/>
      <c r="AA83" s="353"/>
      <c r="AB83" s="353"/>
      <c r="AC83" s="353"/>
      <c r="AD83" s="353"/>
      <c r="AE83" s="353"/>
    </row>
    <row r="84" spans="3:31" s="354" customFormat="1" ht="15" customHeight="1">
      <c r="C84" s="353"/>
      <c r="D84" s="353"/>
      <c r="E84" s="353"/>
      <c r="F84" s="429"/>
      <c r="G84" s="353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353"/>
      <c r="AD84" s="353"/>
      <c r="AE84" s="353"/>
    </row>
    <row r="85" spans="3:31" s="354" customFormat="1" ht="15" customHeight="1"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</row>
    <row r="86" spans="3:31" s="354" customFormat="1" ht="15" customHeight="1"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488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</row>
    <row r="87" spans="3:31" s="354" customFormat="1" ht="15" customHeight="1"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</row>
    <row r="88" spans="3:31" s="354" customFormat="1" ht="15" customHeight="1"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</row>
    <row r="89" spans="3:31" s="354" customFormat="1" ht="15" customHeight="1"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</row>
    <row r="90" spans="3:31" s="354" customFormat="1" ht="15" customHeight="1"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</row>
    <row r="91" spans="3:31" s="354" customFormat="1" ht="15" customHeight="1"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</row>
    <row r="92" spans="3:31" s="354" customFormat="1" ht="15" customHeight="1"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</row>
    <row r="93" spans="3:31" s="354" customFormat="1" ht="15" customHeight="1"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</row>
    <row r="94" spans="3:31" s="354" customFormat="1" ht="15" customHeight="1"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</row>
    <row r="95" spans="3:31" s="354" customFormat="1" ht="15" customHeight="1"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</row>
    <row r="96" spans="3:31" s="354" customFormat="1" ht="15" customHeight="1"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</row>
    <row r="97" spans="3:31" s="354" customFormat="1" ht="15" customHeight="1"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</row>
    <row r="98" spans="3:31" s="354" customFormat="1" ht="15" customHeight="1"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</row>
    <row r="99" spans="3:31" s="354" customFormat="1" ht="15" customHeight="1"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</row>
    <row r="100" spans="3:31" s="354" customFormat="1" ht="15" customHeight="1"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</row>
    <row r="101" spans="3:31" s="354" customFormat="1" ht="15" customHeight="1"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</row>
    <row r="102" spans="3:31" s="354" customFormat="1" ht="15" customHeight="1"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</row>
    <row r="103" spans="3:31" s="354" customFormat="1" ht="15" customHeight="1"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</row>
    <row r="104" spans="3:31" s="354" customFormat="1" ht="15" customHeight="1"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</row>
    <row r="105" spans="3:31" s="354" customFormat="1" ht="15" customHeight="1"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</row>
    <row r="106" spans="3:31" s="354" customFormat="1" ht="12" customHeight="1"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</row>
    <row r="107" spans="3:31" s="354" customFormat="1" ht="12" customHeight="1"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</row>
    <row r="108" spans="3:31" s="354" customFormat="1" ht="12" customHeight="1"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</row>
    <row r="109" spans="3:31" s="354" customFormat="1" ht="12" customHeight="1"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</row>
    <row r="110" spans="3:31" s="354" customFormat="1" ht="12" customHeight="1"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</row>
    <row r="111" spans="3:31" s="354" customFormat="1" ht="12" customHeight="1"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</row>
    <row r="112" spans="3:31" s="354" customFormat="1" ht="12" customHeight="1"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</row>
    <row r="113" spans="3:31" s="354" customFormat="1" ht="12" customHeight="1"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</row>
    <row r="114" spans="3:31" s="354" customFormat="1" ht="12" customHeight="1"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</row>
    <row r="115" spans="3:31" s="354" customFormat="1" ht="12" customHeight="1"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</row>
    <row r="116" spans="3:31" s="354" customFormat="1" ht="12" customHeight="1"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</row>
    <row r="117" spans="3:31" s="354" customFormat="1" ht="12" customHeight="1"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</row>
    <row r="118" spans="3:31" s="354" customFormat="1" ht="12" customHeight="1"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</row>
    <row r="119" spans="3:31" s="354" customFormat="1" ht="12" customHeight="1"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</row>
    <row r="120" spans="3:31" s="354" customFormat="1" ht="12" customHeight="1"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</row>
    <row r="121" spans="3:31" s="354" customFormat="1" ht="12" customHeight="1"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</row>
    <row r="122" spans="3:31" s="354" customFormat="1" ht="12" customHeight="1">
      <c r="C122" s="353"/>
      <c r="D122" s="353"/>
      <c r="E122" s="353"/>
      <c r="F122" s="353"/>
      <c r="G122" s="353"/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</row>
    <row r="123" spans="3:31" s="354" customFormat="1" ht="12" customHeight="1"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</row>
    <row r="124" spans="3:31" s="354" customFormat="1" ht="12" customHeight="1"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</row>
    <row r="125" spans="3:31" s="354" customFormat="1" ht="12" customHeight="1"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</row>
    <row r="126" spans="3:31" s="354" customFormat="1" ht="12" customHeight="1"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</row>
    <row r="127" spans="3:31" s="354" customFormat="1" ht="12" customHeight="1">
      <c r="C127" s="353"/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</row>
    <row r="128" spans="3:31" s="354" customFormat="1" ht="12" customHeight="1"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</row>
    <row r="129" spans="3:31" s="354" customFormat="1" ht="12" customHeight="1"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</row>
    <row r="130" spans="3:31" s="354" customFormat="1" ht="12" customHeight="1"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</row>
    <row r="131" spans="3:31" s="354" customFormat="1" ht="12" customHeight="1"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</row>
    <row r="132" spans="3:31" s="343" customFormat="1" ht="11.25"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</row>
    <row r="133" s="343" customFormat="1" ht="11.25"/>
    <row r="134" s="356" customFormat="1" ht="12"/>
    <row r="135" s="356" customFormat="1" ht="12"/>
    <row r="136" s="356" customFormat="1" ht="12"/>
    <row r="137" s="356" customFormat="1" ht="12"/>
  </sheetData>
  <sheetProtection/>
  <mergeCells count="19">
    <mergeCell ref="A3:AD3"/>
    <mergeCell ref="A6:B9"/>
    <mergeCell ref="AC6:AD8"/>
    <mergeCell ref="Q6:X6"/>
    <mergeCell ref="Y6:AB6"/>
    <mergeCell ref="E6:P6"/>
    <mergeCell ref="K7:L8"/>
    <mergeCell ref="M7:N8"/>
    <mergeCell ref="O7:P8"/>
    <mergeCell ref="Q7:R8"/>
    <mergeCell ref="Y7:Z8"/>
    <mergeCell ref="AA7:AB8"/>
    <mergeCell ref="C6:D8"/>
    <mergeCell ref="E7:F8"/>
    <mergeCell ref="G7:H8"/>
    <mergeCell ref="I7:J8"/>
    <mergeCell ref="S7:T8"/>
    <mergeCell ref="U7:V8"/>
    <mergeCell ref="W7:X8"/>
  </mergeCells>
  <printOptions horizontalCentered="1"/>
  <pageMargins left="0.15748031496062992" right="0.1968503937007874" top="0.2362204724409449" bottom="0.15748031496062992" header="0.2362204724409449" footer="0.15748031496062992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Y40"/>
  <sheetViews>
    <sheetView zoomScalePageLayoutView="0" workbookViewId="0" topLeftCell="A12">
      <selection activeCell="Y34" sqref="Y34"/>
    </sheetView>
  </sheetViews>
  <sheetFormatPr defaultColWidth="9.00390625" defaultRowHeight="12.75"/>
  <cols>
    <col min="1" max="1" width="4.625" style="0" customWidth="1"/>
    <col min="2" max="2" width="11.375" style="0" customWidth="1"/>
    <col min="3" max="3" width="35.75390625" style="0" customWidth="1"/>
    <col min="4" max="23" width="9.375" style="0" customWidth="1"/>
    <col min="25" max="25" width="11.125" style="0" bestFit="1" customWidth="1"/>
  </cols>
  <sheetData>
    <row r="1" spans="4:12" ht="12.75">
      <c r="D1" s="247"/>
      <c r="E1" s="247"/>
      <c r="F1" s="247" t="s">
        <v>458</v>
      </c>
      <c r="G1" s="1242" t="str">
        <f>'bev-int'!B1</f>
        <v>melléklet a …/2024. (III.  .) önkormányzati rendelethez</v>
      </c>
      <c r="H1" s="1242"/>
      <c r="I1" s="1242"/>
      <c r="J1" s="1242"/>
      <c r="K1" s="1242"/>
      <c r="L1" s="1242"/>
    </row>
    <row r="4" spans="2:23" ht="12.75">
      <c r="B4" s="1216" t="s">
        <v>715</v>
      </c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  <c r="U4" s="1216"/>
      <c r="V4" s="1216"/>
      <c r="W4" s="1216"/>
    </row>
    <row r="5" spans="2:23" ht="12.75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</row>
    <row r="6" spans="2:15" ht="12.7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23" ht="13.5" thickBo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V7" s="130"/>
      <c r="W7" s="130" t="s">
        <v>322</v>
      </c>
    </row>
    <row r="8" spans="2:23" ht="18.75" customHeight="1">
      <c r="B8" s="1217" t="s">
        <v>55</v>
      </c>
      <c r="C8" s="1218"/>
      <c r="D8" s="1229" t="s">
        <v>244</v>
      </c>
      <c r="E8" s="1218"/>
      <c r="F8" s="1225" t="s">
        <v>104</v>
      </c>
      <c r="G8" s="1226"/>
      <c r="H8" s="1226"/>
      <c r="I8" s="1226"/>
      <c r="J8" s="1226"/>
      <c r="K8" s="1226"/>
      <c r="L8" s="1226"/>
      <c r="M8" s="1228"/>
      <c r="N8" s="1225" t="s">
        <v>148</v>
      </c>
      <c r="O8" s="1226"/>
      <c r="P8" s="1226"/>
      <c r="Q8" s="1226"/>
      <c r="R8" s="1226"/>
      <c r="S8" s="1228"/>
      <c r="T8" s="1225" t="s">
        <v>81</v>
      </c>
      <c r="U8" s="1226"/>
      <c r="V8" s="1226"/>
      <c r="W8" s="1227"/>
    </row>
    <row r="9" spans="2:23" ht="13.5" customHeight="1">
      <c r="B9" s="1219"/>
      <c r="C9" s="1220"/>
      <c r="D9" s="1230"/>
      <c r="E9" s="1220"/>
      <c r="F9" s="1208" t="str">
        <f>'bev-int'!A26</f>
        <v>Közhatalmi bevételek</v>
      </c>
      <c r="G9" s="1209"/>
      <c r="H9" s="1208" t="str">
        <f>'bev-int'!A15</f>
        <v>Működési célú támogatások ÁH belülről</v>
      </c>
      <c r="I9" s="1209"/>
      <c r="J9" s="1208" t="str">
        <f>'bev-int'!A27</f>
        <v>Működési bevételek</v>
      </c>
      <c r="K9" s="1209"/>
      <c r="L9" s="1208" t="str">
        <f>'bev-int'!A29</f>
        <v>Működési célú átvett pénzeszközök</v>
      </c>
      <c r="M9" s="1209"/>
      <c r="N9" s="1208" t="str">
        <f>'bev-int'!A21</f>
        <v>Felhalmozási célú támogatások ÁH belülről</v>
      </c>
      <c r="O9" s="1209"/>
      <c r="P9" s="1208" t="str">
        <f>'bev-int'!A28</f>
        <v>Felhalmozási bevételek</v>
      </c>
      <c r="Q9" s="1209"/>
      <c r="R9" s="1208" t="str">
        <f>'bev-int'!A30</f>
        <v>Felhalmozási célú átvett pénzeszközök</v>
      </c>
      <c r="S9" s="1209"/>
      <c r="T9" s="1212" t="str">
        <f>'bev-int'!A37</f>
        <v>Központi, irányító szervi támogatás</v>
      </c>
      <c r="U9" s="1213"/>
      <c r="V9" s="1208" t="str">
        <f>'bev-int'!A34</f>
        <v>Maradvány igénybevétele</v>
      </c>
      <c r="W9" s="1223"/>
    </row>
    <row r="10" spans="2:23" ht="19.5" customHeight="1" thickBot="1">
      <c r="B10" s="1219"/>
      <c r="C10" s="1220"/>
      <c r="D10" s="1231"/>
      <c r="E10" s="1232"/>
      <c r="F10" s="1210"/>
      <c r="G10" s="1211"/>
      <c r="H10" s="1210"/>
      <c r="I10" s="1211"/>
      <c r="J10" s="1210"/>
      <c r="K10" s="1211"/>
      <c r="L10" s="1210"/>
      <c r="M10" s="1211"/>
      <c r="N10" s="1210"/>
      <c r="O10" s="1211"/>
      <c r="P10" s="1210"/>
      <c r="Q10" s="1211"/>
      <c r="R10" s="1210"/>
      <c r="S10" s="1211"/>
      <c r="T10" s="1214"/>
      <c r="U10" s="1215"/>
      <c r="V10" s="1210"/>
      <c r="W10" s="1224"/>
    </row>
    <row r="11" spans="2:23" ht="18.75" customHeight="1" hidden="1" thickBot="1">
      <c r="B11" s="1221"/>
      <c r="C11" s="1222"/>
      <c r="D11" s="274" t="s">
        <v>465</v>
      </c>
      <c r="E11" s="272" t="s">
        <v>466</v>
      </c>
      <c r="F11" s="274" t="s">
        <v>465</v>
      </c>
      <c r="G11" s="272" t="s">
        <v>466</v>
      </c>
      <c r="H11" s="274" t="s">
        <v>465</v>
      </c>
      <c r="I11" s="272" t="s">
        <v>466</v>
      </c>
      <c r="J11" s="274" t="s">
        <v>465</v>
      </c>
      <c r="K11" s="272" t="s">
        <v>466</v>
      </c>
      <c r="L11" s="274" t="s">
        <v>465</v>
      </c>
      <c r="M11" s="272" t="s">
        <v>466</v>
      </c>
      <c r="N11" s="274" t="s">
        <v>465</v>
      </c>
      <c r="O11" s="272" t="s">
        <v>466</v>
      </c>
      <c r="P11" s="274" t="s">
        <v>465</v>
      </c>
      <c r="Q11" s="272" t="s">
        <v>466</v>
      </c>
      <c r="R11" s="274" t="s">
        <v>465</v>
      </c>
      <c r="S11" s="272" t="s">
        <v>466</v>
      </c>
      <c r="T11" s="274" t="s">
        <v>465</v>
      </c>
      <c r="U11" s="272" t="s">
        <v>466</v>
      </c>
      <c r="V11" s="274" t="s">
        <v>465</v>
      </c>
      <c r="W11" s="273" t="s">
        <v>466</v>
      </c>
    </row>
    <row r="12" spans="2:23" ht="15" customHeight="1">
      <c r="B12" s="1200"/>
      <c r="C12" s="1201"/>
      <c r="D12" s="820"/>
      <c r="E12" s="820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9"/>
      <c r="W12" s="823"/>
    </row>
    <row r="13" spans="2:23" ht="15" customHeight="1">
      <c r="B13" s="98" t="s">
        <v>464</v>
      </c>
      <c r="C13" s="1084" t="s">
        <v>781</v>
      </c>
      <c r="D13" s="808">
        <f aca="true" t="shared" si="0" ref="D13:E15">F13+H13+J13+L13+N13+P13+R13+T13+V13</f>
        <v>100000</v>
      </c>
      <c r="E13" s="808">
        <f t="shared" si="0"/>
        <v>140000</v>
      </c>
      <c r="F13" s="848">
        <v>100000</v>
      </c>
      <c r="G13" s="848">
        <f>100000+40000</f>
        <v>140000</v>
      </c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8"/>
      <c r="T13" s="848"/>
      <c r="U13" s="848"/>
      <c r="V13" s="822"/>
      <c r="W13" s="823"/>
    </row>
    <row r="14" spans="2:23" ht="35.25" customHeight="1">
      <c r="B14" s="98" t="s">
        <v>257</v>
      </c>
      <c r="C14" s="1143" t="s">
        <v>885</v>
      </c>
      <c r="D14" s="808">
        <f t="shared" si="0"/>
        <v>0</v>
      </c>
      <c r="E14" s="808">
        <f t="shared" si="0"/>
        <v>89000</v>
      </c>
      <c r="F14" s="848"/>
      <c r="G14" s="848"/>
      <c r="H14" s="848"/>
      <c r="I14" s="848"/>
      <c r="J14" s="848"/>
      <c r="K14" s="848">
        <v>89000</v>
      </c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22"/>
      <c r="W14" s="823"/>
    </row>
    <row r="15" spans="2:23" ht="22.5" customHeight="1">
      <c r="B15" s="98" t="s">
        <v>257</v>
      </c>
      <c r="C15" s="505" t="s">
        <v>10</v>
      </c>
      <c r="D15" s="808">
        <f t="shared" si="0"/>
        <v>5807997</v>
      </c>
      <c r="E15" s="808">
        <f t="shared" si="0"/>
        <v>5890556</v>
      </c>
      <c r="F15" s="810"/>
      <c r="G15" s="810"/>
      <c r="H15" s="810">
        <v>4800000</v>
      </c>
      <c r="I15" s="810">
        <v>4800000</v>
      </c>
      <c r="J15" s="810">
        <v>1007997</v>
      </c>
      <c r="K15" s="810">
        <f>1007997+52748+29811</f>
        <v>1090556</v>
      </c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1"/>
      <c r="W15" s="812"/>
    </row>
    <row r="16" spans="2:23" ht="21.75" customHeight="1">
      <c r="B16" s="98" t="s">
        <v>404</v>
      </c>
      <c r="C16" s="505" t="s">
        <v>530</v>
      </c>
      <c r="D16" s="808">
        <f aca="true" t="shared" si="1" ref="D16:D30">F16+H16+J16+L16+N16+P16+R16+T16+V16</f>
        <v>132000</v>
      </c>
      <c r="E16" s="808">
        <f aca="true" t="shared" si="2" ref="E16:E30">G16+I16+K16+M16+O16+Q16+S16+U16+W16</f>
        <v>132000</v>
      </c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>
        <v>132000</v>
      </c>
      <c r="S16" s="810">
        <v>132000</v>
      </c>
      <c r="T16" s="810"/>
      <c r="U16" s="810"/>
      <c r="V16" s="811"/>
      <c r="W16" s="812"/>
    </row>
    <row r="17" spans="2:23" ht="15" customHeight="1">
      <c r="B17" s="98" t="s">
        <v>257</v>
      </c>
      <c r="C17" s="506" t="s">
        <v>280</v>
      </c>
      <c r="D17" s="808">
        <f>F17+H17+J17+L17+N17+P17+R17+T17+V17</f>
        <v>6415165</v>
      </c>
      <c r="E17" s="808">
        <f>G17+I17+K17+M17+O17+Q17+S17+U17+W17</f>
        <v>6508184</v>
      </c>
      <c r="F17" s="810"/>
      <c r="G17" s="810"/>
      <c r="H17" s="810"/>
      <c r="I17" s="810"/>
      <c r="J17" s="810">
        <v>6415165</v>
      </c>
      <c r="K17" s="810">
        <f>6415165+93019</f>
        <v>6508184</v>
      </c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1"/>
      <c r="W17" s="812"/>
    </row>
    <row r="18" spans="2:23" ht="19.5" customHeight="1">
      <c r="B18" s="98" t="s">
        <v>257</v>
      </c>
      <c r="C18" s="506" t="s">
        <v>294</v>
      </c>
      <c r="D18" s="808">
        <f t="shared" si="1"/>
        <v>0</v>
      </c>
      <c r="E18" s="808">
        <f t="shared" si="2"/>
        <v>62500</v>
      </c>
      <c r="F18" s="810"/>
      <c r="G18" s="810"/>
      <c r="H18" s="810"/>
      <c r="I18" s="810"/>
      <c r="J18" s="810"/>
      <c r="K18" s="810">
        <v>13287</v>
      </c>
      <c r="L18" s="810"/>
      <c r="M18" s="810"/>
      <c r="N18" s="810"/>
      <c r="O18" s="810"/>
      <c r="P18" s="810"/>
      <c r="Q18" s="810">
        <v>49213</v>
      </c>
      <c r="R18" s="810"/>
      <c r="S18" s="810"/>
      <c r="T18" s="810"/>
      <c r="U18" s="810"/>
      <c r="V18" s="811"/>
      <c r="W18" s="812"/>
    </row>
    <row r="19" spans="2:23" ht="22.5">
      <c r="B19" s="98" t="s">
        <v>404</v>
      </c>
      <c r="C19" s="506" t="s">
        <v>531</v>
      </c>
      <c r="D19" s="808">
        <f aca="true" t="shared" si="3" ref="D19:E21">F19+H19+J19+L19+N19+P19+R19+T19+V19</f>
        <v>1962000</v>
      </c>
      <c r="E19" s="808">
        <f t="shared" si="3"/>
        <v>1962000</v>
      </c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>
        <v>1962000</v>
      </c>
      <c r="S19" s="810">
        <v>1962000</v>
      </c>
      <c r="T19" s="810"/>
      <c r="U19" s="810"/>
      <c r="V19" s="811"/>
      <c r="W19" s="812"/>
    </row>
    <row r="20" spans="2:23" ht="15" customHeight="1">
      <c r="B20" s="98" t="s">
        <v>678</v>
      </c>
      <c r="C20" s="505" t="s">
        <v>886</v>
      </c>
      <c r="D20" s="808">
        <f t="shared" si="3"/>
        <v>0</v>
      </c>
      <c r="E20" s="808">
        <f t="shared" si="3"/>
        <v>4000</v>
      </c>
      <c r="F20" s="810"/>
      <c r="G20" s="810"/>
      <c r="H20" s="810"/>
      <c r="I20" s="810"/>
      <c r="J20" s="810"/>
      <c r="K20" s="810">
        <v>4000</v>
      </c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1"/>
      <c r="W20" s="812"/>
    </row>
    <row r="21" spans="2:23" ht="15" customHeight="1">
      <c r="B21" s="98"/>
      <c r="C21" s="505"/>
      <c r="D21" s="808">
        <f t="shared" si="3"/>
        <v>0</v>
      </c>
      <c r="E21" s="808">
        <f t="shared" si="3"/>
        <v>0</v>
      </c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1"/>
      <c r="W21" s="812"/>
    </row>
    <row r="22" spans="2:23" ht="15" customHeight="1">
      <c r="B22" s="98" t="s">
        <v>464</v>
      </c>
      <c r="C22" s="505" t="s">
        <v>12</v>
      </c>
      <c r="D22" s="808">
        <f t="shared" si="1"/>
        <v>400000</v>
      </c>
      <c r="E22" s="808">
        <f t="shared" si="2"/>
        <v>340000</v>
      </c>
      <c r="F22" s="810">
        <v>400000</v>
      </c>
      <c r="G22" s="810">
        <f>400000-60000</f>
        <v>340000</v>
      </c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1"/>
      <c r="W22" s="812"/>
    </row>
    <row r="23" spans="2:23" ht="21.75" customHeight="1">
      <c r="B23" s="98" t="s">
        <v>404</v>
      </c>
      <c r="C23" s="287" t="s">
        <v>782</v>
      </c>
      <c r="D23" s="808">
        <f t="shared" si="1"/>
        <v>233340</v>
      </c>
      <c r="E23" s="808">
        <f t="shared" si="2"/>
        <v>233340</v>
      </c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>
        <v>233340</v>
      </c>
      <c r="S23" s="810">
        <v>233340</v>
      </c>
      <c r="T23" s="810"/>
      <c r="U23" s="810"/>
      <c r="V23" s="811"/>
      <c r="W23" s="812"/>
    </row>
    <row r="24" spans="2:23" ht="15" customHeight="1">
      <c r="B24" s="98" t="s">
        <v>257</v>
      </c>
      <c r="C24" s="505" t="s">
        <v>261</v>
      </c>
      <c r="D24" s="808">
        <f t="shared" si="1"/>
        <v>285121303</v>
      </c>
      <c r="E24" s="808">
        <f t="shared" si="2"/>
        <v>286145943</v>
      </c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>
        <v>285121303</v>
      </c>
      <c r="U24" s="810">
        <f>284661073+1024640</f>
        <v>285685713</v>
      </c>
      <c r="V24" s="811"/>
      <c r="W24" s="812">
        <v>460230</v>
      </c>
    </row>
    <row r="25" spans="2:23" ht="15" customHeight="1">
      <c r="B25" s="98"/>
      <c r="C25" s="88" t="s">
        <v>262</v>
      </c>
      <c r="D25" s="808">
        <f t="shared" si="1"/>
        <v>0</v>
      </c>
      <c r="E25" s="808">
        <f t="shared" si="2"/>
        <v>0</v>
      </c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1"/>
      <c r="W25" s="812"/>
    </row>
    <row r="26" spans="2:23" ht="15" customHeight="1">
      <c r="B26" s="98" t="s">
        <v>404</v>
      </c>
      <c r="C26" s="88" t="s">
        <v>262</v>
      </c>
      <c r="D26" s="808">
        <f t="shared" si="1"/>
        <v>0</v>
      </c>
      <c r="E26" s="808">
        <f t="shared" si="2"/>
        <v>0</v>
      </c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811"/>
      <c r="W26" s="812"/>
    </row>
    <row r="27" spans="2:23" ht="15" customHeight="1">
      <c r="B27" s="98" t="s">
        <v>257</v>
      </c>
      <c r="C27" s="88" t="s">
        <v>279</v>
      </c>
      <c r="D27" s="808">
        <f t="shared" si="1"/>
        <v>0</v>
      </c>
      <c r="E27" s="808">
        <f t="shared" si="2"/>
        <v>0</v>
      </c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1"/>
      <c r="W27" s="812"/>
    </row>
    <row r="28" spans="2:23" ht="15" customHeight="1">
      <c r="B28" s="263" t="s">
        <v>257</v>
      </c>
      <c r="C28" s="288" t="s">
        <v>14</v>
      </c>
      <c r="D28" s="808">
        <f t="shared" si="1"/>
        <v>0</v>
      </c>
      <c r="E28" s="808">
        <f t="shared" si="2"/>
        <v>0</v>
      </c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1"/>
      <c r="W28" s="812"/>
    </row>
    <row r="29" spans="2:23" ht="15" customHeight="1">
      <c r="B29" s="98" t="s">
        <v>257</v>
      </c>
      <c r="C29" s="88" t="s">
        <v>13</v>
      </c>
      <c r="D29" s="808">
        <f t="shared" si="1"/>
        <v>0</v>
      </c>
      <c r="E29" s="808">
        <f t="shared" si="2"/>
        <v>0</v>
      </c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0"/>
      <c r="Q29" s="850"/>
      <c r="R29" s="850"/>
      <c r="S29" s="850"/>
      <c r="T29" s="850"/>
      <c r="U29" s="850"/>
      <c r="V29" s="811"/>
      <c r="W29" s="812"/>
    </row>
    <row r="30" spans="2:23" ht="15" customHeight="1">
      <c r="B30" s="98" t="s">
        <v>404</v>
      </c>
      <c r="C30" s="88" t="s">
        <v>13</v>
      </c>
      <c r="D30" s="808">
        <f t="shared" si="1"/>
        <v>0</v>
      </c>
      <c r="E30" s="808">
        <f t="shared" si="2"/>
        <v>0</v>
      </c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11"/>
      <c r="W30" s="812"/>
    </row>
    <row r="31" spans="2:23" ht="15" customHeight="1">
      <c r="B31" s="98"/>
      <c r="C31" s="88"/>
      <c r="D31" s="808"/>
      <c r="E31" s="808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1"/>
      <c r="W31" s="812"/>
    </row>
    <row r="32" spans="2:25" ht="15" customHeight="1">
      <c r="B32" s="1204" t="s">
        <v>71</v>
      </c>
      <c r="C32" s="1205"/>
      <c r="D32" s="808">
        <f aca="true" t="shared" si="4" ref="D32:W32">SUM(D13:D30)</f>
        <v>300171805</v>
      </c>
      <c r="E32" s="808">
        <f t="shared" si="4"/>
        <v>301507523</v>
      </c>
      <c r="F32" s="808">
        <f t="shared" si="4"/>
        <v>500000</v>
      </c>
      <c r="G32" s="808">
        <f t="shared" si="4"/>
        <v>480000</v>
      </c>
      <c r="H32" s="808">
        <f t="shared" si="4"/>
        <v>4800000</v>
      </c>
      <c r="I32" s="808">
        <f t="shared" si="4"/>
        <v>4800000</v>
      </c>
      <c r="J32" s="808">
        <f t="shared" si="4"/>
        <v>7423162</v>
      </c>
      <c r="K32" s="808">
        <f t="shared" si="4"/>
        <v>7705027</v>
      </c>
      <c r="L32" s="808">
        <f t="shared" si="4"/>
        <v>0</v>
      </c>
      <c r="M32" s="808">
        <f t="shared" si="4"/>
        <v>0</v>
      </c>
      <c r="N32" s="808">
        <f t="shared" si="4"/>
        <v>0</v>
      </c>
      <c r="O32" s="808">
        <f t="shared" si="4"/>
        <v>0</v>
      </c>
      <c r="P32" s="808">
        <f t="shared" si="4"/>
        <v>0</v>
      </c>
      <c r="Q32" s="808">
        <f t="shared" si="4"/>
        <v>49213</v>
      </c>
      <c r="R32" s="808">
        <f t="shared" si="4"/>
        <v>2327340</v>
      </c>
      <c r="S32" s="808">
        <f t="shared" si="4"/>
        <v>2327340</v>
      </c>
      <c r="T32" s="808">
        <f t="shared" si="4"/>
        <v>285121303</v>
      </c>
      <c r="U32" s="808">
        <f t="shared" si="4"/>
        <v>285685713</v>
      </c>
      <c r="V32" s="808">
        <f t="shared" si="4"/>
        <v>0</v>
      </c>
      <c r="W32" s="808">
        <f t="shared" si="4"/>
        <v>460230</v>
      </c>
      <c r="Y32" s="175"/>
    </row>
    <row r="33" spans="2:23" ht="15" customHeight="1">
      <c r="B33" s="98"/>
      <c r="C33" s="88"/>
      <c r="D33" s="808"/>
      <c r="E33" s="808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1"/>
      <c r="W33" s="812"/>
    </row>
    <row r="34" spans="2:23" ht="15" customHeight="1">
      <c r="B34" s="1204" t="s">
        <v>9</v>
      </c>
      <c r="C34" s="1205"/>
      <c r="D34" s="824">
        <f aca="true" t="shared" si="5" ref="D34:W34">D15+D17+D18+D20+D24+D25+D27+D28+D29+D21</f>
        <v>297344465</v>
      </c>
      <c r="E34" s="824">
        <f t="shared" si="5"/>
        <v>298611183</v>
      </c>
      <c r="F34" s="824">
        <f t="shared" si="5"/>
        <v>0</v>
      </c>
      <c r="G34" s="824">
        <f t="shared" si="5"/>
        <v>0</v>
      </c>
      <c r="H34" s="824">
        <f t="shared" si="5"/>
        <v>4800000</v>
      </c>
      <c r="I34" s="824">
        <f t="shared" si="5"/>
        <v>4800000</v>
      </c>
      <c r="J34" s="824">
        <f t="shared" si="5"/>
        <v>7423162</v>
      </c>
      <c r="K34" s="824">
        <f>K15+K17+K18+K20+K24+K25+K27+K28+K29+K21+K14</f>
        <v>7705027</v>
      </c>
      <c r="L34" s="824">
        <f t="shared" si="5"/>
        <v>0</v>
      </c>
      <c r="M34" s="824">
        <f t="shared" si="5"/>
        <v>0</v>
      </c>
      <c r="N34" s="824">
        <f t="shared" si="5"/>
        <v>0</v>
      </c>
      <c r="O34" s="824">
        <f t="shared" si="5"/>
        <v>0</v>
      </c>
      <c r="P34" s="824">
        <f t="shared" si="5"/>
        <v>0</v>
      </c>
      <c r="Q34" s="824">
        <f t="shared" si="5"/>
        <v>49213</v>
      </c>
      <c r="R34" s="824">
        <f t="shared" si="5"/>
        <v>0</v>
      </c>
      <c r="S34" s="824">
        <f t="shared" si="5"/>
        <v>0</v>
      </c>
      <c r="T34" s="824">
        <f t="shared" si="5"/>
        <v>285121303</v>
      </c>
      <c r="U34" s="824">
        <f t="shared" si="5"/>
        <v>285685713</v>
      </c>
      <c r="V34" s="824">
        <f t="shared" si="5"/>
        <v>0</v>
      </c>
      <c r="W34" s="824">
        <f t="shared" si="5"/>
        <v>460230</v>
      </c>
    </row>
    <row r="35" spans="2:23" ht="15" customHeight="1">
      <c r="B35" s="98"/>
      <c r="C35" s="89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53"/>
      <c r="W35" s="854"/>
    </row>
    <row r="36" spans="2:23" ht="15" customHeight="1">
      <c r="B36" s="1204" t="s">
        <v>403</v>
      </c>
      <c r="C36" s="1205"/>
      <c r="D36" s="824">
        <f aca="true" t="shared" si="6" ref="D36:W36">D16+D19+D23+D26+D30</f>
        <v>2327340</v>
      </c>
      <c r="E36" s="824">
        <f t="shared" si="6"/>
        <v>2327340</v>
      </c>
      <c r="F36" s="824">
        <f t="shared" si="6"/>
        <v>0</v>
      </c>
      <c r="G36" s="824">
        <f t="shared" si="6"/>
        <v>0</v>
      </c>
      <c r="H36" s="824">
        <f t="shared" si="6"/>
        <v>0</v>
      </c>
      <c r="I36" s="824">
        <f t="shared" si="6"/>
        <v>0</v>
      </c>
      <c r="J36" s="824">
        <f t="shared" si="6"/>
        <v>0</v>
      </c>
      <c r="K36" s="824">
        <f t="shared" si="6"/>
        <v>0</v>
      </c>
      <c r="L36" s="824">
        <f t="shared" si="6"/>
        <v>0</v>
      </c>
      <c r="M36" s="824">
        <f t="shared" si="6"/>
        <v>0</v>
      </c>
      <c r="N36" s="824">
        <f t="shared" si="6"/>
        <v>0</v>
      </c>
      <c r="O36" s="824">
        <f t="shared" si="6"/>
        <v>0</v>
      </c>
      <c r="P36" s="824">
        <f t="shared" si="6"/>
        <v>0</v>
      </c>
      <c r="Q36" s="824">
        <f t="shared" si="6"/>
        <v>0</v>
      </c>
      <c r="R36" s="824">
        <f t="shared" si="6"/>
        <v>2327340</v>
      </c>
      <c r="S36" s="824">
        <f t="shared" si="6"/>
        <v>2327340</v>
      </c>
      <c r="T36" s="824">
        <f t="shared" si="6"/>
        <v>0</v>
      </c>
      <c r="U36" s="824">
        <f t="shared" si="6"/>
        <v>0</v>
      </c>
      <c r="V36" s="824">
        <f t="shared" si="6"/>
        <v>0</v>
      </c>
      <c r="W36" s="824">
        <f t="shared" si="6"/>
        <v>0</v>
      </c>
    </row>
    <row r="37" spans="2:23" ht="15" customHeight="1">
      <c r="B37" s="98"/>
      <c r="C37" s="89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53"/>
      <c r="W37" s="854"/>
    </row>
    <row r="38" spans="2:23" ht="15" customHeight="1" thickBot="1">
      <c r="B38" s="1240" t="s">
        <v>462</v>
      </c>
      <c r="C38" s="1241"/>
      <c r="D38" s="855">
        <f>D22+D13</f>
        <v>500000</v>
      </c>
      <c r="E38" s="855">
        <f>E22+E13</f>
        <v>480000</v>
      </c>
      <c r="F38" s="855">
        <f>F22+F13</f>
        <v>500000</v>
      </c>
      <c r="G38" s="855">
        <f>G22+G13</f>
        <v>480000</v>
      </c>
      <c r="H38" s="855">
        <f>H22</f>
        <v>0</v>
      </c>
      <c r="I38" s="855">
        <f aca="true" t="shared" si="7" ref="I38:W38">I22</f>
        <v>0</v>
      </c>
      <c r="J38" s="855">
        <f>J22</f>
        <v>0</v>
      </c>
      <c r="K38" s="855">
        <f t="shared" si="7"/>
        <v>0</v>
      </c>
      <c r="L38" s="855">
        <f>L22</f>
        <v>0</v>
      </c>
      <c r="M38" s="855">
        <f t="shared" si="7"/>
        <v>0</v>
      </c>
      <c r="N38" s="855">
        <f>N22</f>
        <v>0</v>
      </c>
      <c r="O38" s="855">
        <f t="shared" si="7"/>
        <v>0</v>
      </c>
      <c r="P38" s="855">
        <f>P22</f>
        <v>0</v>
      </c>
      <c r="Q38" s="855">
        <f t="shared" si="7"/>
        <v>0</v>
      </c>
      <c r="R38" s="855">
        <f>R22</f>
        <v>0</v>
      </c>
      <c r="S38" s="855">
        <f t="shared" si="7"/>
        <v>0</v>
      </c>
      <c r="T38" s="855">
        <f>T22</f>
        <v>0</v>
      </c>
      <c r="U38" s="855">
        <f t="shared" si="7"/>
        <v>0</v>
      </c>
      <c r="V38" s="856">
        <f>V22</f>
        <v>0</v>
      </c>
      <c r="W38" s="857">
        <f t="shared" si="7"/>
        <v>0</v>
      </c>
    </row>
    <row r="39" spans="4:23" ht="12.75"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</row>
    <row r="40" spans="4:23" ht="12.75">
      <c r="D40" s="833">
        <f>D34+D36+D38</f>
        <v>300171805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</row>
  </sheetData>
  <sheetProtection/>
  <mergeCells count="21">
    <mergeCell ref="B4:W4"/>
    <mergeCell ref="T8:W8"/>
    <mergeCell ref="N8:S8"/>
    <mergeCell ref="N9:O10"/>
    <mergeCell ref="R9:S10"/>
    <mergeCell ref="T9:U10"/>
    <mergeCell ref="V9:W10"/>
    <mergeCell ref="F8:M8"/>
    <mergeCell ref="B8:C11"/>
    <mergeCell ref="P9:Q10"/>
    <mergeCell ref="G1:L1"/>
    <mergeCell ref="D8:E10"/>
    <mergeCell ref="F9:G10"/>
    <mergeCell ref="H9:I10"/>
    <mergeCell ref="J9:K10"/>
    <mergeCell ref="B38:C38"/>
    <mergeCell ref="B12:C12"/>
    <mergeCell ref="B32:C32"/>
    <mergeCell ref="B34:C34"/>
    <mergeCell ref="B36:C36"/>
    <mergeCell ref="L9:M10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79"/>
  <sheetViews>
    <sheetView zoomScalePageLayoutView="0" workbookViewId="0" topLeftCell="A13">
      <selection activeCell="Q47" sqref="Q47"/>
    </sheetView>
  </sheetViews>
  <sheetFormatPr defaultColWidth="9.00390625" defaultRowHeight="12.75"/>
  <cols>
    <col min="1" max="1" width="10.375" style="0" customWidth="1"/>
    <col min="2" max="2" width="33.00390625" style="0" customWidth="1"/>
    <col min="3" max="3" width="9.375" style="0" bestFit="1" customWidth="1"/>
    <col min="4" max="5" width="9.375" style="0" customWidth="1"/>
    <col min="6" max="6" width="11.375" style="0" customWidth="1"/>
    <col min="7" max="7" width="8.625" style="0" bestFit="1" customWidth="1"/>
    <col min="8" max="8" width="8.625" style="0" customWidth="1"/>
    <col min="9" max="9" width="9.375" style="0" customWidth="1"/>
    <col min="10" max="10" width="8.375" style="0" customWidth="1"/>
    <col min="11" max="11" width="9.375" style="0" customWidth="1"/>
    <col min="12" max="12" width="7.125" style="0" customWidth="1"/>
    <col min="13" max="13" width="6.75390625" style="0" customWidth="1"/>
    <col min="14" max="14" width="8.375" style="0" customWidth="1"/>
    <col min="15" max="15" width="9.375" style="0" customWidth="1"/>
    <col min="16" max="16" width="7.75390625" style="0" customWidth="1"/>
    <col min="17" max="17" width="9.375" style="0" customWidth="1"/>
    <col min="18" max="18" width="7.25390625" style="0" customWidth="1"/>
    <col min="19" max="19" width="9.375" style="0" customWidth="1"/>
    <col min="20" max="20" width="7.625" style="0" customWidth="1"/>
    <col min="21" max="21" width="9.375" style="0" customWidth="1"/>
    <col min="22" max="22" width="7.75390625" style="0" customWidth="1"/>
    <col min="23" max="23" width="9.375" style="0" customWidth="1"/>
    <col min="24" max="24" width="7.375" style="0" customWidth="1"/>
    <col min="25" max="25" width="9.375" style="0" customWidth="1"/>
    <col min="26" max="26" width="7.25390625" style="0" customWidth="1"/>
    <col min="27" max="27" width="9.375" style="0" customWidth="1"/>
    <col min="28" max="28" width="7.125" style="0" customWidth="1"/>
  </cols>
  <sheetData>
    <row r="1" ht="12.75">
      <c r="B1" s="162" t="str">
        <f>'bev-int'!B1</f>
        <v>melléklet a …/2024. (III.  .) önkormányzati rendelethez</v>
      </c>
    </row>
    <row r="4" spans="1:28" s="74" customFormat="1" ht="21.75" customHeight="1">
      <c r="A4" s="79"/>
      <c r="B4" s="1245" t="s">
        <v>715</v>
      </c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  <c r="T4" s="1245"/>
      <c r="U4" s="1245"/>
      <c r="V4" s="1245"/>
      <c r="W4" s="1245"/>
      <c r="X4" s="1245"/>
      <c r="Y4" s="80"/>
      <c r="Z4" s="80"/>
      <c r="AA4" s="79"/>
      <c r="AB4" s="79"/>
    </row>
    <row r="5" spans="1:28" s="74" customFormat="1" ht="21.7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79"/>
      <c r="AB5" s="79"/>
    </row>
    <row r="6" spans="1:28" s="74" customFormat="1" ht="21.75" customHeight="1">
      <c r="A6" s="79"/>
      <c r="B6" s="1246"/>
      <c r="C6" s="1246"/>
      <c r="D6" s="1246"/>
      <c r="E6" s="1246"/>
      <c r="F6" s="1246"/>
      <c r="G6" s="1246"/>
      <c r="H6" s="1246"/>
      <c r="I6" s="1246"/>
      <c r="J6" s="1246"/>
      <c r="K6" s="1246"/>
      <c r="L6" s="1246"/>
      <c r="M6" s="1246"/>
      <c r="N6" s="1246"/>
      <c r="O6" s="1246"/>
      <c r="P6" s="1246"/>
      <c r="Q6" s="1246"/>
      <c r="R6" s="1246"/>
      <c r="S6" s="1246"/>
      <c r="T6" s="1246"/>
      <c r="U6" s="1246"/>
      <c r="V6" s="1246"/>
      <c r="W6" s="1246"/>
      <c r="X6" s="1246"/>
      <c r="Y6" s="81"/>
      <c r="Z6" s="81"/>
      <c r="AA6" s="79"/>
      <c r="AB6" s="79"/>
    </row>
    <row r="7" spans="1:28" s="74" customFormat="1" ht="21.75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2"/>
      <c r="T7" s="82"/>
      <c r="U7" s="83"/>
      <c r="V7" s="83"/>
      <c r="W7" s="83"/>
      <c r="X7" s="83"/>
      <c r="Y7" s="428"/>
      <c r="Z7" s="111"/>
      <c r="AA7" s="130" t="s">
        <v>705</v>
      </c>
      <c r="AB7" s="83"/>
    </row>
    <row r="8" spans="1:28" s="75" customFormat="1" ht="21.75" customHeight="1">
      <c r="A8" s="1217" t="s">
        <v>55</v>
      </c>
      <c r="B8" s="1249"/>
      <c r="C8" s="1217" t="s">
        <v>245</v>
      </c>
      <c r="D8" s="1253"/>
      <c r="E8" s="1252" t="s">
        <v>246</v>
      </c>
      <c r="F8" s="1226"/>
      <c r="G8" s="1226"/>
      <c r="H8" s="1226"/>
      <c r="I8" s="1226"/>
      <c r="J8" s="1226"/>
      <c r="K8" s="1226"/>
      <c r="L8" s="1226"/>
      <c r="M8" s="1226"/>
      <c r="N8" s="1226"/>
      <c r="O8" s="1226"/>
      <c r="P8" s="1227"/>
      <c r="Q8" s="1226" t="s">
        <v>129</v>
      </c>
      <c r="R8" s="1226"/>
      <c r="S8" s="1226"/>
      <c r="T8" s="1226"/>
      <c r="U8" s="1226"/>
      <c r="V8" s="1226"/>
      <c r="W8" s="1226"/>
      <c r="X8" s="1226"/>
      <c r="Y8" s="1252" t="s">
        <v>77</v>
      </c>
      <c r="Z8" s="1226"/>
      <c r="AA8" s="1226"/>
      <c r="AB8" s="1227"/>
    </row>
    <row r="9" spans="1:28" s="75" customFormat="1" ht="21.75" customHeight="1">
      <c r="A9" s="1219"/>
      <c r="B9" s="1250"/>
      <c r="C9" s="1219"/>
      <c r="D9" s="1254"/>
      <c r="E9" s="1257" t="s">
        <v>63</v>
      </c>
      <c r="F9" s="1209"/>
      <c r="G9" s="1208" t="s">
        <v>247</v>
      </c>
      <c r="H9" s="1209"/>
      <c r="I9" s="1208" t="s">
        <v>248</v>
      </c>
      <c r="J9" s="1209"/>
      <c r="K9" s="1208" t="s">
        <v>137</v>
      </c>
      <c r="L9" s="1209"/>
      <c r="M9" s="1208" t="s">
        <v>580</v>
      </c>
      <c r="N9" s="1209"/>
      <c r="O9" s="1208" t="s">
        <v>251</v>
      </c>
      <c r="P9" s="1223"/>
      <c r="Q9" s="1261" t="s">
        <v>252</v>
      </c>
      <c r="R9" s="1262"/>
      <c r="S9" s="1265" t="s">
        <v>253</v>
      </c>
      <c r="T9" s="1262"/>
      <c r="U9" s="1208" t="s">
        <v>35</v>
      </c>
      <c r="V9" s="1209"/>
      <c r="W9" s="1212" t="s">
        <v>254</v>
      </c>
      <c r="X9" s="1271"/>
      <c r="Y9" s="1267" t="s">
        <v>278</v>
      </c>
      <c r="Z9" s="1213"/>
      <c r="AA9" s="1208" t="s">
        <v>255</v>
      </c>
      <c r="AB9" s="1223"/>
    </row>
    <row r="10" spans="1:28" s="75" customFormat="1" ht="36" customHeight="1" thickBot="1">
      <c r="A10" s="1219"/>
      <c r="B10" s="1250"/>
      <c r="C10" s="1255"/>
      <c r="D10" s="1256"/>
      <c r="E10" s="1258"/>
      <c r="F10" s="1259"/>
      <c r="G10" s="1260"/>
      <c r="H10" s="1259"/>
      <c r="I10" s="1260"/>
      <c r="J10" s="1259"/>
      <c r="K10" s="1260"/>
      <c r="L10" s="1259"/>
      <c r="M10" s="1260"/>
      <c r="N10" s="1259"/>
      <c r="O10" s="1260"/>
      <c r="P10" s="1270"/>
      <c r="Q10" s="1263"/>
      <c r="R10" s="1264"/>
      <c r="S10" s="1266"/>
      <c r="T10" s="1264"/>
      <c r="U10" s="1260"/>
      <c r="V10" s="1259"/>
      <c r="W10" s="1272"/>
      <c r="X10" s="1273"/>
      <c r="Y10" s="1268"/>
      <c r="Z10" s="1269"/>
      <c r="AA10" s="1260"/>
      <c r="AB10" s="1270"/>
    </row>
    <row r="11" spans="1:28" s="130" customFormat="1" ht="18.75" customHeight="1" hidden="1" thickBot="1">
      <c r="A11" s="1221"/>
      <c r="B11" s="1251"/>
      <c r="C11" s="284" t="s">
        <v>465</v>
      </c>
      <c r="D11" s="281" t="s">
        <v>466</v>
      </c>
      <c r="E11" s="284" t="s">
        <v>465</v>
      </c>
      <c r="F11" s="280" t="s">
        <v>466</v>
      </c>
      <c r="G11" s="279" t="s">
        <v>465</v>
      </c>
      <c r="H11" s="280" t="s">
        <v>466</v>
      </c>
      <c r="I11" s="279" t="s">
        <v>465</v>
      </c>
      <c r="J11" s="280" t="s">
        <v>466</v>
      </c>
      <c r="K11" s="279" t="s">
        <v>465</v>
      </c>
      <c r="L11" s="280" t="s">
        <v>466</v>
      </c>
      <c r="M11" s="279" t="s">
        <v>465</v>
      </c>
      <c r="N11" s="280" t="s">
        <v>466</v>
      </c>
      <c r="O11" s="279" t="s">
        <v>465</v>
      </c>
      <c r="P11" s="281" t="s">
        <v>466</v>
      </c>
      <c r="Q11" s="286" t="s">
        <v>465</v>
      </c>
      <c r="R11" s="280" t="s">
        <v>466</v>
      </c>
      <c r="S11" s="279" t="s">
        <v>465</v>
      </c>
      <c r="T11" s="280" t="s">
        <v>466</v>
      </c>
      <c r="U11" s="279" t="s">
        <v>465</v>
      </c>
      <c r="V11" s="280" t="s">
        <v>466</v>
      </c>
      <c r="W11" s="279" t="s">
        <v>465</v>
      </c>
      <c r="X11" s="283" t="s">
        <v>466</v>
      </c>
      <c r="Y11" s="285" t="s">
        <v>465</v>
      </c>
      <c r="Z11" s="272" t="s">
        <v>466</v>
      </c>
      <c r="AA11" s="282" t="s">
        <v>465</v>
      </c>
      <c r="AB11" s="273" t="s">
        <v>466</v>
      </c>
    </row>
    <row r="12" spans="1:30" s="75" customFormat="1" ht="12.75" customHeight="1">
      <c r="A12" s="1247"/>
      <c r="B12" s="1248"/>
      <c r="C12" s="858"/>
      <c r="D12" s="859"/>
      <c r="E12" s="860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2"/>
      <c r="Q12" s="863"/>
      <c r="R12" s="861"/>
      <c r="S12" s="861"/>
      <c r="T12" s="861"/>
      <c r="U12" s="861"/>
      <c r="V12" s="861"/>
      <c r="W12" s="861"/>
      <c r="X12" s="864"/>
      <c r="Y12" s="860"/>
      <c r="Z12" s="861"/>
      <c r="AA12" s="849"/>
      <c r="AB12" s="865"/>
      <c r="AC12" s="831"/>
      <c r="AD12" s="831"/>
    </row>
    <row r="13" spans="1:30" s="75" customFormat="1" ht="36.75" customHeight="1">
      <c r="A13" s="98" t="s">
        <v>257</v>
      </c>
      <c r="B13" s="1144" t="s">
        <v>887</v>
      </c>
      <c r="C13" s="916">
        <f aca="true" t="shared" si="0" ref="C13:D15">E13+G13+I13+K13+M13+O13+Q13+S13+U13+W13+Y13+AA13</f>
        <v>41966946</v>
      </c>
      <c r="D13" s="912">
        <f t="shared" si="0"/>
        <v>42510368</v>
      </c>
      <c r="E13" s="866">
        <v>36375758</v>
      </c>
      <c r="F13" s="866">
        <f>36260758+453072</f>
        <v>36713830</v>
      </c>
      <c r="G13" s="810">
        <v>5139088</v>
      </c>
      <c r="H13" s="810">
        <v>5139088</v>
      </c>
      <c r="I13" s="810">
        <v>452100</v>
      </c>
      <c r="J13" s="810">
        <f>567100+90350</f>
        <v>657450</v>
      </c>
      <c r="K13" s="810"/>
      <c r="L13" s="810"/>
      <c r="M13" s="810"/>
      <c r="N13" s="810"/>
      <c r="O13" s="810"/>
      <c r="P13" s="867"/>
      <c r="Q13" s="868"/>
      <c r="R13" s="810"/>
      <c r="S13" s="810"/>
      <c r="T13" s="810"/>
      <c r="U13" s="810"/>
      <c r="V13" s="810"/>
      <c r="W13" s="810"/>
      <c r="X13" s="869"/>
      <c r="Y13" s="870"/>
      <c r="Z13" s="810"/>
      <c r="AA13" s="811"/>
      <c r="AB13" s="812"/>
      <c r="AC13" s="831"/>
      <c r="AD13" s="831"/>
    </row>
    <row r="14" spans="1:30" s="75" customFormat="1" ht="28.5" customHeight="1">
      <c r="A14" s="98" t="s">
        <v>257</v>
      </c>
      <c r="B14" s="1144" t="s">
        <v>888</v>
      </c>
      <c r="C14" s="916">
        <f t="shared" si="0"/>
        <v>0</v>
      </c>
      <c r="D14" s="912">
        <f t="shared" si="0"/>
        <v>610218</v>
      </c>
      <c r="E14" s="866"/>
      <c r="F14" s="866">
        <v>571568</v>
      </c>
      <c r="G14" s="810"/>
      <c r="H14" s="810"/>
      <c r="I14" s="810"/>
      <c r="J14" s="810">
        <v>38650</v>
      </c>
      <c r="K14" s="810"/>
      <c r="L14" s="810"/>
      <c r="M14" s="810"/>
      <c r="N14" s="810"/>
      <c r="O14" s="810"/>
      <c r="P14" s="867"/>
      <c r="Q14" s="868"/>
      <c r="R14" s="810"/>
      <c r="S14" s="810"/>
      <c r="T14" s="810"/>
      <c r="U14" s="810"/>
      <c r="V14" s="810"/>
      <c r="W14" s="810"/>
      <c r="X14" s="869"/>
      <c r="Y14" s="870"/>
      <c r="Z14" s="810"/>
      <c r="AA14" s="811"/>
      <c r="AB14" s="812"/>
      <c r="AC14" s="831"/>
      <c r="AD14" s="831"/>
    </row>
    <row r="15" spans="1:30" s="75" customFormat="1" ht="15.75" customHeight="1">
      <c r="A15" s="98" t="s">
        <v>257</v>
      </c>
      <c r="B15" s="287" t="s">
        <v>10</v>
      </c>
      <c r="C15" s="916">
        <f t="shared" si="0"/>
        <v>75328441</v>
      </c>
      <c r="D15" s="912">
        <f t="shared" si="0"/>
        <v>75179774</v>
      </c>
      <c r="E15" s="866">
        <v>54274526</v>
      </c>
      <c r="F15" s="866">
        <f>54204526+45000</f>
        <v>54249526</v>
      </c>
      <c r="G15" s="810">
        <v>8846057</v>
      </c>
      <c r="H15" s="810">
        <v>8846057</v>
      </c>
      <c r="I15" s="810">
        <v>10937858</v>
      </c>
      <c r="J15" s="810">
        <f>10977994+38998</f>
        <v>11016992</v>
      </c>
      <c r="K15" s="810"/>
      <c r="L15" s="810"/>
      <c r="M15" s="810"/>
      <c r="N15" s="810"/>
      <c r="O15" s="810"/>
      <c r="P15" s="867"/>
      <c r="Q15" s="868"/>
      <c r="R15" s="810"/>
      <c r="S15" s="810">
        <v>1270000</v>
      </c>
      <c r="T15" s="810">
        <f>1270000-202801</f>
        <v>1067199</v>
      </c>
      <c r="U15" s="810"/>
      <c r="V15" s="810"/>
      <c r="W15" s="810"/>
      <c r="X15" s="869"/>
      <c r="Y15" s="870"/>
      <c r="Z15" s="810"/>
      <c r="AA15" s="811"/>
      <c r="AB15" s="812"/>
      <c r="AC15" s="831"/>
      <c r="AD15" s="831"/>
    </row>
    <row r="16" spans="1:30" s="75" customFormat="1" ht="34.5" customHeight="1">
      <c r="A16" s="98" t="s">
        <v>404</v>
      </c>
      <c r="B16" s="506" t="s">
        <v>532</v>
      </c>
      <c r="C16" s="916">
        <f aca="true" t="shared" si="1" ref="C16:C31">E16+G16+I16+K16+M16+O16+Q16+S16+U16+W16+Y16+AA16</f>
        <v>2000000</v>
      </c>
      <c r="D16" s="912">
        <f aca="true" t="shared" si="2" ref="D16:D31">F16+H16+J16+L16+N16+P16+R16+T16+V16+X16+Z16+AB16</f>
        <v>2000000</v>
      </c>
      <c r="E16" s="866"/>
      <c r="F16" s="866"/>
      <c r="G16" s="810"/>
      <c r="H16" s="810"/>
      <c r="I16" s="810"/>
      <c r="J16" s="810"/>
      <c r="K16" s="810"/>
      <c r="L16" s="810"/>
      <c r="M16" s="810"/>
      <c r="N16" s="810"/>
      <c r="O16" s="810"/>
      <c r="P16" s="867"/>
      <c r="Q16" s="868"/>
      <c r="R16" s="810"/>
      <c r="S16" s="810"/>
      <c r="T16" s="810"/>
      <c r="U16" s="810">
        <v>2000000</v>
      </c>
      <c r="V16" s="810">
        <v>2000000</v>
      </c>
      <c r="W16" s="810"/>
      <c r="X16" s="869"/>
      <c r="Y16" s="870"/>
      <c r="Z16" s="810"/>
      <c r="AA16" s="811"/>
      <c r="AB16" s="812"/>
      <c r="AC16" s="831"/>
      <c r="AD16" s="831"/>
    </row>
    <row r="17" spans="1:30" s="75" customFormat="1" ht="15.75" customHeight="1">
      <c r="A17" s="98" t="s">
        <v>257</v>
      </c>
      <c r="B17" s="287" t="s">
        <v>11</v>
      </c>
      <c r="C17" s="916">
        <f t="shared" si="1"/>
        <v>15091542</v>
      </c>
      <c r="D17" s="912">
        <f t="shared" si="2"/>
        <v>16119888</v>
      </c>
      <c r="E17" s="866">
        <v>11604935</v>
      </c>
      <c r="F17" s="866">
        <f>11604935+842799</f>
        <v>12447734</v>
      </c>
      <c r="G17" s="810">
        <v>1511894</v>
      </c>
      <c r="H17" s="810">
        <f>1511894+31821</f>
        <v>1543715</v>
      </c>
      <c r="I17" s="810">
        <v>1974713</v>
      </c>
      <c r="J17" s="810">
        <f>1974713+153726</f>
        <v>2128439</v>
      </c>
      <c r="K17" s="810"/>
      <c r="L17" s="810"/>
      <c r="M17" s="810"/>
      <c r="N17" s="810"/>
      <c r="O17" s="810"/>
      <c r="P17" s="867"/>
      <c r="Q17" s="868"/>
      <c r="R17" s="810"/>
      <c r="S17" s="810"/>
      <c r="T17" s="810"/>
      <c r="U17" s="810"/>
      <c r="V17" s="810"/>
      <c r="W17" s="810"/>
      <c r="X17" s="869"/>
      <c r="Y17" s="870"/>
      <c r="Z17" s="810"/>
      <c r="AA17" s="811"/>
      <c r="AB17" s="812"/>
      <c r="AC17" s="831"/>
      <c r="AD17" s="831"/>
    </row>
    <row r="18" spans="1:30" s="75" customFormat="1" ht="15.75" customHeight="1">
      <c r="A18" s="98" t="s">
        <v>257</v>
      </c>
      <c r="B18" s="287" t="s">
        <v>293</v>
      </c>
      <c r="C18" s="916">
        <f t="shared" si="1"/>
        <v>25149166</v>
      </c>
      <c r="D18" s="912">
        <f t="shared" si="2"/>
        <v>23858614</v>
      </c>
      <c r="E18" s="866">
        <v>19466522</v>
      </c>
      <c r="F18" s="866">
        <f>19466522-1071578</f>
        <v>18394944</v>
      </c>
      <c r="G18" s="810">
        <v>2621756</v>
      </c>
      <c r="H18" s="810">
        <f>2621756-69156</f>
        <v>2552600</v>
      </c>
      <c r="I18" s="810">
        <v>3060888</v>
      </c>
      <c r="J18" s="810">
        <f>3060888-156618</f>
        <v>2904270</v>
      </c>
      <c r="K18" s="810"/>
      <c r="L18" s="810"/>
      <c r="M18" s="810"/>
      <c r="N18" s="810"/>
      <c r="O18" s="810"/>
      <c r="P18" s="867"/>
      <c r="Q18" s="868"/>
      <c r="R18" s="810"/>
      <c r="S18" s="810"/>
      <c r="T18" s="810">
        <v>6800</v>
      </c>
      <c r="U18" s="810"/>
      <c r="V18" s="810"/>
      <c r="W18" s="810"/>
      <c r="X18" s="869"/>
      <c r="Y18" s="870"/>
      <c r="Z18" s="810"/>
      <c r="AA18" s="811"/>
      <c r="AB18" s="812"/>
      <c r="AC18" s="831"/>
      <c r="AD18" s="831"/>
    </row>
    <row r="19" spans="1:30" s="75" customFormat="1" ht="15.75" customHeight="1">
      <c r="A19" s="98" t="s">
        <v>257</v>
      </c>
      <c r="B19" s="287" t="s">
        <v>280</v>
      </c>
      <c r="C19" s="916">
        <f t="shared" si="1"/>
        <v>8517632</v>
      </c>
      <c r="D19" s="912">
        <f t="shared" si="2"/>
        <v>9130990</v>
      </c>
      <c r="E19" s="866">
        <v>6660264</v>
      </c>
      <c r="F19" s="866">
        <f>6660264+575067</f>
        <v>7235331</v>
      </c>
      <c r="G19" s="810">
        <v>895132</v>
      </c>
      <c r="H19" s="810">
        <f>895132+37335</f>
        <v>932467</v>
      </c>
      <c r="I19" s="810">
        <v>962236</v>
      </c>
      <c r="J19" s="810">
        <f>962236+956</f>
        <v>963192</v>
      </c>
      <c r="K19" s="810"/>
      <c r="L19" s="810"/>
      <c r="M19" s="810"/>
      <c r="N19" s="810"/>
      <c r="O19" s="810"/>
      <c r="P19" s="867"/>
      <c r="Q19" s="868"/>
      <c r="R19" s="810"/>
      <c r="S19" s="810"/>
      <c r="T19" s="810"/>
      <c r="U19" s="810"/>
      <c r="V19" s="810"/>
      <c r="W19" s="810"/>
      <c r="X19" s="869"/>
      <c r="Y19" s="870"/>
      <c r="Z19" s="810"/>
      <c r="AA19" s="811"/>
      <c r="AB19" s="812"/>
      <c r="AC19" s="831"/>
      <c r="AD19" s="831"/>
    </row>
    <row r="20" spans="1:30" s="75" customFormat="1" ht="15.75" customHeight="1">
      <c r="A20" s="98" t="s">
        <v>257</v>
      </c>
      <c r="B20" s="287" t="s">
        <v>294</v>
      </c>
      <c r="C20" s="916">
        <f t="shared" si="1"/>
        <v>85281265</v>
      </c>
      <c r="D20" s="912">
        <f t="shared" si="2"/>
        <v>81587567</v>
      </c>
      <c r="E20" s="866">
        <v>61096911</v>
      </c>
      <c r="F20" s="866">
        <f>61096911-3368063</f>
        <v>57728848</v>
      </c>
      <c r="G20" s="810">
        <v>8296994</v>
      </c>
      <c r="H20" s="810">
        <f>8296994-330233</f>
        <v>7966761</v>
      </c>
      <c r="I20" s="810">
        <v>15887360</v>
      </c>
      <c r="J20" s="810">
        <f>15887360-142404</f>
        <v>15744956</v>
      </c>
      <c r="K20" s="810"/>
      <c r="L20" s="810"/>
      <c r="M20" s="810"/>
      <c r="N20" s="810"/>
      <c r="O20" s="810"/>
      <c r="P20" s="867"/>
      <c r="Q20" s="868"/>
      <c r="R20" s="810"/>
      <c r="S20" s="810"/>
      <c r="T20" s="810">
        <v>147002</v>
      </c>
      <c r="U20" s="810"/>
      <c r="V20" s="810"/>
      <c r="W20" s="810"/>
      <c r="X20" s="869"/>
      <c r="Y20" s="870"/>
      <c r="Z20" s="810"/>
      <c r="AA20" s="811"/>
      <c r="AB20" s="812"/>
      <c r="AC20" s="831"/>
      <c r="AD20" s="831"/>
    </row>
    <row r="21" spans="1:30" s="75" customFormat="1" ht="15.75" customHeight="1">
      <c r="A21" s="98" t="s">
        <v>257</v>
      </c>
      <c r="B21" s="88" t="s">
        <v>595</v>
      </c>
      <c r="C21" s="916">
        <f>E21+G21+I21+K21+M21+O21+Q21+S21+U21+W21+Y21+AA21</f>
        <v>0</v>
      </c>
      <c r="D21" s="912">
        <f>F21+H21+J21+L21+N21+P21+R21+T21+V21+X21+Z21+AB21</f>
        <v>389043</v>
      </c>
      <c r="E21" s="866"/>
      <c r="F21" s="866"/>
      <c r="G21" s="810"/>
      <c r="H21" s="810"/>
      <c r="I21" s="810"/>
      <c r="J21" s="810"/>
      <c r="K21" s="810"/>
      <c r="L21" s="810"/>
      <c r="M21" s="810"/>
      <c r="N21" s="810">
        <v>389043</v>
      </c>
      <c r="O21" s="810"/>
      <c r="P21" s="867"/>
      <c r="Q21" s="868"/>
      <c r="R21" s="810"/>
      <c r="S21" s="810"/>
      <c r="T21" s="810"/>
      <c r="U21" s="810"/>
      <c r="V21" s="810"/>
      <c r="W21" s="810"/>
      <c r="X21" s="869"/>
      <c r="Y21" s="870"/>
      <c r="Z21" s="810"/>
      <c r="AA21" s="811"/>
      <c r="AB21" s="812"/>
      <c r="AC21" s="831"/>
      <c r="AD21" s="831"/>
    </row>
    <row r="22" spans="1:30" s="75" customFormat="1" ht="15.75" customHeight="1">
      <c r="A22" s="98"/>
      <c r="B22" s="88"/>
      <c r="C22" s="916">
        <f>E22+G22+I22+K22+M22+O22+Q22+S22+U22+W22+Y22+AA22</f>
        <v>0</v>
      </c>
      <c r="D22" s="912">
        <f>F22+H22+J22+L22+N22+P22+R22+T22+V22+X22+Z22+AB22</f>
        <v>0</v>
      </c>
      <c r="E22" s="866"/>
      <c r="F22" s="866"/>
      <c r="G22" s="810"/>
      <c r="H22" s="810"/>
      <c r="I22" s="810"/>
      <c r="J22" s="810"/>
      <c r="K22" s="810"/>
      <c r="L22" s="810"/>
      <c r="M22" s="810"/>
      <c r="N22" s="810"/>
      <c r="O22" s="810"/>
      <c r="P22" s="867"/>
      <c r="Q22" s="868"/>
      <c r="R22" s="810"/>
      <c r="S22" s="810"/>
      <c r="T22" s="810"/>
      <c r="U22" s="810"/>
      <c r="V22" s="810"/>
      <c r="W22" s="810"/>
      <c r="X22" s="869"/>
      <c r="Y22" s="870"/>
      <c r="Z22" s="810"/>
      <c r="AA22" s="811"/>
      <c r="AB22" s="812"/>
      <c r="AC22" s="831"/>
      <c r="AD22" s="831"/>
    </row>
    <row r="23" spans="1:30" s="75" customFormat="1" ht="15.75" customHeight="1">
      <c r="A23" s="98" t="s">
        <v>464</v>
      </c>
      <c r="B23" s="287" t="s">
        <v>12</v>
      </c>
      <c r="C23" s="916">
        <f t="shared" si="1"/>
        <v>8779085</v>
      </c>
      <c r="D23" s="912">
        <f t="shared" si="2"/>
        <v>9385497</v>
      </c>
      <c r="E23" s="866">
        <v>6441451</v>
      </c>
      <c r="F23" s="866">
        <f>6441451+494488</f>
        <v>6935939</v>
      </c>
      <c r="G23" s="810">
        <v>888748</v>
      </c>
      <c r="H23" s="810">
        <v>888748</v>
      </c>
      <c r="I23" s="810">
        <v>1448886</v>
      </c>
      <c r="J23" s="810">
        <f>1461498+99312</f>
        <v>1560810</v>
      </c>
      <c r="K23" s="810"/>
      <c r="L23" s="810"/>
      <c r="M23" s="810"/>
      <c r="N23" s="810"/>
      <c r="O23" s="810"/>
      <c r="P23" s="867"/>
      <c r="Q23" s="868"/>
      <c r="R23" s="810"/>
      <c r="S23" s="810"/>
      <c r="T23" s="810"/>
      <c r="U23" s="810"/>
      <c r="V23" s="810"/>
      <c r="W23" s="810"/>
      <c r="X23" s="869"/>
      <c r="Y23" s="870"/>
      <c r="Z23" s="810"/>
      <c r="AA23" s="811"/>
      <c r="AB23" s="812"/>
      <c r="AC23" s="831"/>
      <c r="AD23" s="831"/>
    </row>
    <row r="24" spans="1:30" s="75" customFormat="1" ht="15.75" customHeight="1">
      <c r="A24" s="98" t="s">
        <v>257</v>
      </c>
      <c r="B24" s="88" t="s">
        <v>261</v>
      </c>
      <c r="C24" s="916">
        <f>E24+G24+I24+K24+M24+O24+Q24+S24+U24+W24+Y24+AA24</f>
        <v>0</v>
      </c>
      <c r="D24" s="912">
        <f>F24+H24+J24+L24+N24+P24+R24+T24+V24+X24+Z24+AB24</f>
        <v>0</v>
      </c>
      <c r="E24" s="866"/>
      <c r="F24" s="866"/>
      <c r="G24" s="810"/>
      <c r="H24" s="810"/>
      <c r="I24" s="810"/>
      <c r="J24" s="810"/>
      <c r="K24" s="810"/>
      <c r="L24" s="810"/>
      <c r="M24" s="810"/>
      <c r="N24" s="810"/>
      <c r="O24" s="810"/>
      <c r="P24" s="867"/>
      <c r="Q24" s="868"/>
      <c r="R24" s="810"/>
      <c r="S24" s="810"/>
      <c r="T24" s="810"/>
      <c r="U24" s="810"/>
      <c r="V24" s="810"/>
      <c r="W24" s="810"/>
      <c r="X24" s="869"/>
      <c r="Y24" s="870"/>
      <c r="Z24" s="810"/>
      <c r="AA24" s="811"/>
      <c r="AB24" s="812"/>
      <c r="AC24" s="831"/>
      <c r="AD24" s="831"/>
    </row>
    <row r="25" spans="1:30" s="75" customFormat="1" ht="15.75" customHeight="1">
      <c r="A25" s="524" t="s">
        <v>257</v>
      </c>
      <c r="B25" s="287" t="s">
        <v>262</v>
      </c>
      <c r="C25" s="916">
        <f t="shared" si="1"/>
        <v>12644942</v>
      </c>
      <c r="D25" s="912">
        <f t="shared" si="2"/>
        <v>13087637</v>
      </c>
      <c r="E25" s="866">
        <v>9381410</v>
      </c>
      <c r="F25" s="866">
        <f>9451410+244264</f>
        <v>9695674</v>
      </c>
      <c r="G25" s="810">
        <v>1226694</v>
      </c>
      <c r="H25" s="810">
        <f>1226694+8596</f>
        <v>1235290</v>
      </c>
      <c r="I25" s="810">
        <v>2036838</v>
      </c>
      <c r="J25" s="810">
        <f>2036838+119835</f>
        <v>2156673</v>
      </c>
      <c r="K25" s="810"/>
      <c r="L25" s="810"/>
      <c r="M25" s="810"/>
      <c r="N25" s="810"/>
      <c r="O25" s="810"/>
      <c r="P25" s="867"/>
      <c r="Q25" s="868"/>
      <c r="R25" s="810"/>
      <c r="S25" s="810"/>
      <c r="T25" s="810"/>
      <c r="U25" s="810"/>
      <c r="V25" s="810"/>
      <c r="W25" s="810"/>
      <c r="X25" s="869"/>
      <c r="Y25" s="870"/>
      <c r="Z25" s="810"/>
      <c r="AA25" s="811"/>
      <c r="AB25" s="812"/>
      <c r="AC25" s="831"/>
      <c r="AD25" s="831"/>
    </row>
    <row r="26" spans="1:30" s="75" customFormat="1" ht="15.75" customHeight="1" hidden="1">
      <c r="A26" s="98" t="s">
        <v>257</v>
      </c>
      <c r="B26" s="287" t="s">
        <v>279</v>
      </c>
      <c r="C26" s="916">
        <f t="shared" si="1"/>
        <v>0</v>
      </c>
      <c r="D26" s="912">
        <f t="shared" si="2"/>
        <v>0</v>
      </c>
      <c r="E26" s="866"/>
      <c r="F26" s="866"/>
      <c r="G26" s="810"/>
      <c r="H26" s="810"/>
      <c r="I26" s="810"/>
      <c r="J26" s="810"/>
      <c r="K26" s="810"/>
      <c r="L26" s="810"/>
      <c r="M26" s="810"/>
      <c r="N26" s="810"/>
      <c r="O26" s="810"/>
      <c r="P26" s="867"/>
      <c r="Q26" s="868"/>
      <c r="R26" s="810"/>
      <c r="S26" s="810"/>
      <c r="T26" s="810"/>
      <c r="U26" s="810"/>
      <c r="V26" s="810"/>
      <c r="W26" s="810"/>
      <c r="X26" s="869"/>
      <c r="Y26" s="870"/>
      <c r="Z26" s="810"/>
      <c r="AA26" s="811"/>
      <c r="AB26" s="812"/>
      <c r="AC26" s="831"/>
      <c r="AD26" s="831"/>
    </row>
    <row r="27" spans="1:30" s="75" customFormat="1" ht="15.75" customHeight="1">
      <c r="A27" s="98" t="s">
        <v>257</v>
      </c>
      <c r="B27" s="287" t="s">
        <v>780</v>
      </c>
      <c r="C27" s="916">
        <f t="shared" si="1"/>
        <v>2384687</v>
      </c>
      <c r="D27" s="912">
        <f t="shared" si="2"/>
        <v>1995644</v>
      </c>
      <c r="E27" s="866">
        <v>1418008</v>
      </c>
      <c r="F27" s="866">
        <v>1418008</v>
      </c>
      <c r="G27" s="810">
        <v>577636</v>
      </c>
      <c r="H27" s="810">
        <v>577636</v>
      </c>
      <c r="I27" s="810"/>
      <c r="J27" s="810"/>
      <c r="K27" s="810"/>
      <c r="L27" s="810"/>
      <c r="M27" s="810">
        <v>389043</v>
      </c>
      <c r="N27" s="810"/>
      <c r="O27" s="810"/>
      <c r="P27" s="867"/>
      <c r="Q27" s="868"/>
      <c r="R27" s="810"/>
      <c r="S27" s="810"/>
      <c r="T27" s="810"/>
      <c r="U27" s="810"/>
      <c r="V27" s="810"/>
      <c r="W27" s="810"/>
      <c r="X27" s="869"/>
      <c r="Y27" s="870"/>
      <c r="Z27" s="810"/>
      <c r="AA27" s="811"/>
      <c r="AB27" s="812"/>
      <c r="AC27" s="831"/>
      <c r="AD27" s="831"/>
    </row>
    <row r="28" spans="1:30" s="75" customFormat="1" ht="15.75" customHeight="1">
      <c r="A28" s="98" t="s">
        <v>257</v>
      </c>
      <c r="B28" s="287" t="s">
        <v>502</v>
      </c>
      <c r="C28" s="916">
        <f t="shared" si="1"/>
        <v>2593662</v>
      </c>
      <c r="D28" s="912">
        <f t="shared" si="2"/>
        <v>3241421</v>
      </c>
      <c r="E28" s="866">
        <v>1867986</v>
      </c>
      <c r="F28" s="866">
        <f>1867986+148200</f>
        <v>2016186</v>
      </c>
      <c r="G28" s="810">
        <v>257206</v>
      </c>
      <c r="H28" s="810">
        <v>257206</v>
      </c>
      <c r="I28" s="810">
        <v>468470</v>
      </c>
      <c r="J28" s="810">
        <f>468470+499559</f>
        <v>968029</v>
      </c>
      <c r="K28" s="810"/>
      <c r="L28" s="810"/>
      <c r="M28" s="810"/>
      <c r="N28" s="810"/>
      <c r="O28" s="810"/>
      <c r="P28" s="867"/>
      <c r="Q28" s="868"/>
      <c r="R28" s="810"/>
      <c r="S28" s="810"/>
      <c r="T28" s="810"/>
      <c r="U28" s="810"/>
      <c r="V28" s="810"/>
      <c r="W28" s="810"/>
      <c r="X28" s="869"/>
      <c r="Y28" s="870"/>
      <c r="Z28" s="810"/>
      <c r="AA28" s="811"/>
      <c r="AB28" s="812"/>
      <c r="AC28" s="831"/>
      <c r="AD28" s="831"/>
    </row>
    <row r="29" spans="1:30" s="75" customFormat="1" ht="15.75" customHeight="1">
      <c r="A29" s="98" t="s">
        <v>257</v>
      </c>
      <c r="B29" s="287" t="s">
        <v>525</v>
      </c>
      <c r="C29" s="916">
        <f t="shared" si="1"/>
        <v>3061894</v>
      </c>
      <c r="D29" s="912">
        <f t="shared" si="2"/>
        <v>1061894</v>
      </c>
      <c r="E29" s="871">
        <v>2287982</v>
      </c>
      <c r="F29" s="871">
        <f>2287982-2000000</f>
        <v>287982</v>
      </c>
      <c r="G29" s="850">
        <v>312086</v>
      </c>
      <c r="H29" s="850">
        <v>312086</v>
      </c>
      <c r="I29" s="850">
        <v>461826</v>
      </c>
      <c r="J29" s="850">
        <v>461826</v>
      </c>
      <c r="K29" s="850"/>
      <c r="L29" s="850"/>
      <c r="M29" s="850"/>
      <c r="N29" s="850"/>
      <c r="O29" s="850"/>
      <c r="P29" s="872"/>
      <c r="Q29" s="873"/>
      <c r="R29" s="850"/>
      <c r="S29" s="850"/>
      <c r="T29" s="850"/>
      <c r="U29" s="850"/>
      <c r="V29" s="850"/>
      <c r="W29" s="850"/>
      <c r="X29" s="874"/>
      <c r="Y29" s="875"/>
      <c r="Z29" s="850"/>
      <c r="AA29" s="811"/>
      <c r="AB29" s="812"/>
      <c r="AC29" s="831"/>
      <c r="AD29" s="831"/>
    </row>
    <row r="30" spans="1:30" s="75" customFormat="1" ht="15.75" customHeight="1">
      <c r="A30" s="263" t="s">
        <v>257</v>
      </c>
      <c r="B30" s="288" t="s">
        <v>526</v>
      </c>
      <c r="C30" s="917">
        <f>E30+G30+I30+K30+M30+O30+Q30+S30+U30+W30+Y30+AA30</f>
        <v>11841594</v>
      </c>
      <c r="D30" s="913">
        <f>F30+H30+J30+L30+N30+P30+R30+T30+V30+X30+Z30+AB30</f>
        <v>15451647</v>
      </c>
      <c r="E30" s="876">
        <v>8790958</v>
      </c>
      <c r="F30" s="876">
        <f>8790958+3069938</f>
        <v>11860896</v>
      </c>
      <c r="G30" s="815">
        <v>1215446</v>
      </c>
      <c r="H30" s="815">
        <f>1215446+321277</f>
        <v>1536723</v>
      </c>
      <c r="I30" s="815">
        <v>1835190</v>
      </c>
      <c r="J30" s="815">
        <f>1835190+169839</f>
        <v>2005029</v>
      </c>
      <c r="K30" s="815"/>
      <c r="L30" s="815"/>
      <c r="M30" s="815"/>
      <c r="N30" s="815"/>
      <c r="O30" s="815"/>
      <c r="P30" s="877"/>
      <c r="Q30" s="878"/>
      <c r="R30" s="815"/>
      <c r="S30" s="815"/>
      <c r="T30" s="815">
        <v>48999</v>
      </c>
      <c r="U30" s="815"/>
      <c r="V30" s="815"/>
      <c r="W30" s="815"/>
      <c r="X30" s="879"/>
      <c r="Y30" s="880"/>
      <c r="Z30" s="815"/>
      <c r="AA30" s="816"/>
      <c r="AB30" s="817"/>
      <c r="AC30" s="831"/>
      <c r="AD30" s="831"/>
    </row>
    <row r="31" spans="1:30" s="75" customFormat="1" ht="15.75" customHeight="1" thickBot="1">
      <c r="A31" s="263" t="s">
        <v>257</v>
      </c>
      <c r="B31" s="288" t="s">
        <v>14</v>
      </c>
      <c r="C31" s="918">
        <f t="shared" si="1"/>
        <v>5530949</v>
      </c>
      <c r="D31" s="914">
        <f t="shared" si="2"/>
        <v>5897321</v>
      </c>
      <c r="E31" s="876">
        <v>3983131</v>
      </c>
      <c r="F31" s="876">
        <f>3983131+298125</f>
        <v>4281256</v>
      </c>
      <c r="G31" s="815">
        <v>542082</v>
      </c>
      <c r="H31" s="815">
        <v>542082</v>
      </c>
      <c r="I31" s="815">
        <v>1005736</v>
      </c>
      <c r="J31" s="815">
        <f>1005736+68247</f>
        <v>1073983</v>
      </c>
      <c r="K31" s="815"/>
      <c r="L31" s="815"/>
      <c r="M31" s="815"/>
      <c r="N31" s="815"/>
      <c r="O31" s="815"/>
      <c r="P31" s="877"/>
      <c r="Q31" s="878"/>
      <c r="R31" s="815"/>
      <c r="S31" s="815"/>
      <c r="T31" s="815"/>
      <c r="U31" s="815"/>
      <c r="V31" s="815"/>
      <c r="W31" s="815"/>
      <c r="X31" s="879"/>
      <c r="Y31" s="880"/>
      <c r="Z31" s="815"/>
      <c r="AA31" s="816"/>
      <c r="AB31" s="817"/>
      <c r="AC31" s="831"/>
      <c r="AD31" s="831"/>
    </row>
    <row r="32" spans="1:30" s="75" customFormat="1" ht="15.75" customHeight="1" thickBot="1">
      <c r="A32" s="1243" t="s">
        <v>71</v>
      </c>
      <c r="B32" s="1244"/>
      <c r="C32" s="883">
        <f>E32+G32+I32+K32+M32+O32+Q32+S32+U32+W32+Y32+AA32</f>
        <v>300171805</v>
      </c>
      <c r="D32" s="886">
        <f>F32+H32+J32+L32+N32+P32+R32+T32+V32+X32+Z32+AB32</f>
        <v>301507523</v>
      </c>
      <c r="E32" s="883">
        <f>SUM(E13:E31)</f>
        <v>223649842</v>
      </c>
      <c r="F32" s="911">
        <f aca="true" t="shared" si="3" ref="F32:V32">SUM(F13:F31)</f>
        <v>223837722</v>
      </c>
      <c r="G32" s="883">
        <f t="shared" si="3"/>
        <v>32330819</v>
      </c>
      <c r="H32" s="883">
        <f t="shared" si="3"/>
        <v>32330459</v>
      </c>
      <c r="I32" s="883">
        <f t="shared" si="3"/>
        <v>40532101</v>
      </c>
      <c r="J32" s="883">
        <f t="shared" si="3"/>
        <v>41680299</v>
      </c>
      <c r="K32" s="911">
        <f>SUM(K13:K31)</f>
        <v>0</v>
      </c>
      <c r="L32" s="883">
        <f t="shared" si="3"/>
        <v>0</v>
      </c>
      <c r="M32" s="883">
        <f t="shared" si="3"/>
        <v>389043</v>
      </c>
      <c r="N32" s="883">
        <f t="shared" si="3"/>
        <v>389043</v>
      </c>
      <c r="O32" s="883">
        <f t="shared" si="3"/>
        <v>0</v>
      </c>
      <c r="P32" s="882">
        <f t="shared" si="3"/>
        <v>0</v>
      </c>
      <c r="Q32" s="911">
        <f t="shared" si="3"/>
        <v>0</v>
      </c>
      <c r="R32" s="883">
        <f t="shared" si="3"/>
        <v>0</v>
      </c>
      <c r="S32" s="883">
        <f t="shared" si="3"/>
        <v>1270000</v>
      </c>
      <c r="T32" s="883">
        <f t="shared" si="3"/>
        <v>1270000</v>
      </c>
      <c r="U32" s="883">
        <f t="shared" si="3"/>
        <v>2000000</v>
      </c>
      <c r="V32" s="883">
        <f t="shared" si="3"/>
        <v>2000000</v>
      </c>
      <c r="W32" s="818">
        <f aca="true" t="shared" si="4" ref="W32:AB32">SUM(W15:W31)</f>
        <v>0</v>
      </c>
      <c r="X32" s="884">
        <f t="shared" si="4"/>
        <v>0</v>
      </c>
      <c r="Y32" s="881">
        <f t="shared" si="4"/>
        <v>0</v>
      </c>
      <c r="Z32" s="818">
        <f t="shared" si="4"/>
        <v>0</v>
      </c>
      <c r="AA32" s="885">
        <f t="shared" si="4"/>
        <v>0</v>
      </c>
      <c r="AB32" s="886">
        <f t="shared" si="4"/>
        <v>0</v>
      </c>
      <c r="AC32" s="831"/>
      <c r="AD32" s="831"/>
    </row>
    <row r="33" spans="1:30" s="75" customFormat="1" ht="12" thickBot="1">
      <c r="A33" s="265"/>
      <c r="B33" s="289"/>
      <c r="C33" s="919"/>
      <c r="D33" s="915"/>
      <c r="E33" s="887"/>
      <c r="F33" s="888"/>
      <c r="G33" s="889"/>
      <c r="H33" s="889"/>
      <c r="I33" s="889"/>
      <c r="J33" s="922"/>
      <c r="K33" s="888"/>
      <c r="L33" s="889"/>
      <c r="M33" s="889"/>
      <c r="N33" s="889"/>
      <c r="O33" s="889"/>
      <c r="P33" s="890"/>
      <c r="Q33" s="888"/>
      <c r="R33" s="889"/>
      <c r="S33" s="889"/>
      <c r="T33" s="889"/>
      <c r="U33" s="889"/>
      <c r="V33" s="889"/>
      <c r="W33" s="889"/>
      <c r="X33" s="891"/>
      <c r="Y33" s="892"/>
      <c r="Z33" s="889"/>
      <c r="AA33" s="893"/>
      <c r="AB33" s="894"/>
      <c r="AC33" s="831"/>
      <c r="AD33" s="831"/>
    </row>
    <row r="34" spans="1:30" s="75" customFormat="1" ht="15.75" customHeight="1" thickBot="1">
      <c r="A34" s="1243" t="s">
        <v>9</v>
      </c>
      <c r="B34" s="1244"/>
      <c r="C34" s="909">
        <f>C15+C17+C18+C19+C20+C25+C26+C27+C28+C29+C31+C21+C24+C22+C30+C13+C14</f>
        <v>289392720</v>
      </c>
      <c r="D34" s="909">
        <f>D15+D17+D18+D19+D20+D25+D26+D27+D28+D29+D31+D21+D24+D22+D30+D13+D14</f>
        <v>290122026</v>
      </c>
      <c r="E34" s="909">
        <f>E15+E17+E18+E19+E20+E25+E26+E27+E28+E29+E31+E21+E24+E22+E30+E13+E14</f>
        <v>217208391</v>
      </c>
      <c r="F34" s="909">
        <f aca="true" t="shared" si="5" ref="F34:AB34">F15+F17+F18+F19+F20+F25+F26+F27+F28+F29+F31+F21+F24+F22+F30+F13+F14</f>
        <v>216901783</v>
      </c>
      <c r="G34" s="909">
        <f t="shared" si="5"/>
        <v>31442071</v>
      </c>
      <c r="H34" s="909">
        <f t="shared" si="5"/>
        <v>31441711</v>
      </c>
      <c r="I34" s="909">
        <f t="shared" si="5"/>
        <v>39083215</v>
      </c>
      <c r="J34" s="909">
        <f t="shared" si="5"/>
        <v>40119489</v>
      </c>
      <c r="K34" s="909">
        <f t="shared" si="5"/>
        <v>0</v>
      </c>
      <c r="L34" s="909">
        <f t="shared" si="5"/>
        <v>0</v>
      </c>
      <c r="M34" s="909">
        <f t="shared" si="5"/>
        <v>389043</v>
      </c>
      <c r="N34" s="909">
        <f t="shared" si="5"/>
        <v>389043</v>
      </c>
      <c r="O34" s="909">
        <f t="shared" si="5"/>
        <v>0</v>
      </c>
      <c r="P34" s="909">
        <f t="shared" si="5"/>
        <v>0</v>
      </c>
      <c r="Q34" s="909">
        <f t="shared" si="5"/>
        <v>0</v>
      </c>
      <c r="R34" s="909">
        <f t="shared" si="5"/>
        <v>0</v>
      </c>
      <c r="S34" s="909">
        <f t="shared" si="5"/>
        <v>1270000</v>
      </c>
      <c r="T34" s="909">
        <f t="shared" si="5"/>
        <v>1270000</v>
      </c>
      <c r="U34" s="909">
        <f t="shared" si="5"/>
        <v>0</v>
      </c>
      <c r="V34" s="909">
        <f t="shared" si="5"/>
        <v>0</v>
      </c>
      <c r="W34" s="909">
        <f t="shared" si="5"/>
        <v>0</v>
      </c>
      <c r="X34" s="909">
        <f t="shared" si="5"/>
        <v>0</v>
      </c>
      <c r="Y34" s="909">
        <f t="shared" si="5"/>
        <v>0</v>
      </c>
      <c r="Z34" s="909">
        <f t="shared" si="5"/>
        <v>0</v>
      </c>
      <c r="AA34" s="909">
        <f t="shared" si="5"/>
        <v>0</v>
      </c>
      <c r="AB34" s="909">
        <f t="shared" si="5"/>
        <v>0</v>
      </c>
      <c r="AC34" s="831"/>
      <c r="AD34" s="831"/>
    </row>
    <row r="35" spans="1:30" s="75" customFormat="1" ht="12" thickBot="1">
      <c r="A35" s="265"/>
      <c r="B35" s="290"/>
      <c r="C35" s="898"/>
      <c r="D35" s="903"/>
      <c r="E35" s="898"/>
      <c r="F35" s="899"/>
      <c r="G35" s="900"/>
      <c r="H35" s="900"/>
      <c r="I35" s="900"/>
      <c r="J35" s="902"/>
      <c r="K35" s="899"/>
      <c r="L35" s="900"/>
      <c r="M35" s="900"/>
      <c r="N35" s="900"/>
      <c r="O35" s="900"/>
      <c r="P35" s="897"/>
      <c r="Q35" s="899"/>
      <c r="R35" s="900"/>
      <c r="S35" s="900"/>
      <c r="T35" s="900"/>
      <c r="U35" s="900"/>
      <c r="V35" s="900"/>
      <c r="W35" s="900"/>
      <c r="X35" s="901"/>
      <c r="Y35" s="896"/>
      <c r="Z35" s="900"/>
      <c r="AA35" s="902"/>
      <c r="AB35" s="903"/>
      <c r="AC35" s="831"/>
      <c r="AD35" s="831"/>
    </row>
    <row r="36" spans="1:30" s="75" customFormat="1" ht="15.75" customHeight="1" thickBot="1">
      <c r="A36" s="1243" t="s">
        <v>403</v>
      </c>
      <c r="B36" s="1244"/>
      <c r="C36" s="909">
        <f>C16</f>
        <v>2000000</v>
      </c>
      <c r="D36" s="910">
        <f aca="true" t="shared" si="6" ref="D36:V36">D16</f>
        <v>2000000</v>
      </c>
      <c r="E36" s="909">
        <f t="shared" si="6"/>
        <v>0</v>
      </c>
      <c r="F36" s="910">
        <f t="shared" si="6"/>
        <v>0</v>
      </c>
      <c r="G36" s="895">
        <f t="shared" si="6"/>
        <v>0</v>
      </c>
      <c r="H36" s="895">
        <f t="shared" si="6"/>
        <v>0</v>
      </c>
      <c r="I36" s="895">
        <f t="shared" si="6"/>
        <v>0</v>
      </c>
      <c r="J36" s="909">
        <f t="shared" si="6"/>
        <v>0</v>
      </c>
      <c r="K36" s="910">
        <f>K16</f>
        <v>0</v>
      </c>
      <c r="L36" s="895">
        <f t="shared" si="6"/>
        <v>0</v>
      </c>
      <c r="M36" s="895">
        <f t="shared" si="6"/>
        <v>0</v>
      </c>
      <c r="N36" s="895">
        <f t="shared" si="6"/>
        <v>0</v>
      </c>
      <c r="O36" s="895">
        <f t="shared" si="6"/>
        <v>0</v>
      </c>
      <c r="P36" s="921">
        <f t="shared" si="6"/>
        <v>0</v>
      </c>
      <c r="Q36" s="910">
        <f t="shared" si="6"/>
        <v>0</v>
      </c>
      <c r="R36" s="895">
        <f t="shared" si="6"/>
        <v>0</v>
      </c>
      <c r="S36" s="895">
        <f t="shared" si="6"/>
        <v>0</v>
      </c>
      <c r="T36" s="895">
        <f t="shared" si="6"/>
        <v>0</v>
      </c>
      <c r="U36" s="895">
        <f t="shared" si="6"/>
        <v>2000000</v>
      </c>
      <c r="V36" s="895">
        <f t="shared" si="6"/>
        <v>2000000</v>
      </c>
      <c r="W36" s="904">
        <v>0</v>
      </c>
      <c r="X36" s="905">
        <v>0</v>
      </c>
      <c r="Y36" s="895">
        <v>0</v>
      </c>
      <c r="Z36" s="904">
        <v>0</v>
      </c>
      <c r="AA36" s="906">
        <v>0</v>
      </c>
      <c r="AB36" s="907">
        <v>0</v>
      </c>
      <c r="AC36" s="831"/>
      <c r="AD36" s="831"/>
    </row>
    <row r="37" spans="1:30" s="75" customFormat="1" ht="12" thickBot="1">
      <c r="A37" s="265"/>
      <c r="B37" s="290"/>
      <c r="C37" s="920"/>
      <c r="D37" s="903"/>
      <c r="E37" s="898"/>
      <c r="F37" s="899"/>
      <c r="G37" s="900"/>
      <c r="H37" s="900"/>
      <c r="I37" s="900"/>
      <c r="J37" s="902"/>
      <c r="K37" s="899"/>
      <c r="L37" s="900"/>
      <c r="M37" s="900"/>
      <c r="N37" s="900"/>
      <c r="O37" s="900"/>
      <c r="P37" s="897"/>
      <c r="Q37" s="899"/>
      <c r="R37" s="900"/>
      <c r="S37" s="900"/>
      <c r="T37" s="900"/>
      <c r="U37" s="900"/>
      <c r="V37" s="900"/>
      <c r="W37" s="900"/>
      <c r="X37" s="901"/>
      <c r="Y37" s="896"/>
      <c r="Z37" s="900"/>
      <c r="AA37" s="902"/>
      <c r="AB37" s="903"/>
      <c r="AC37" s="831"/>
      <c r="AD37" s="831"/>
    </row>
    <row r="38" spans="1:30" s="75" customFormat="1" ht="12" thickBot="1">
      <c r="A38" s="1243" t="s">
        <v>462</v>
      </c>
      <c r="B38" s="1244"/>
      <c r="C38" s="895">
        <f>C23</f>
        <v>8779085</v>
      </c>
      <c r="D38" s="908">
        <f>D23</f>
        <v>9385497</v>
      </c>
      <c r="E38" s="909">
        <f>E23</f>
        <v>6441451</v>
      </c>
      <c r="F38" s="910">
        <f aca="true" t="shared" si="7" ref="F38:AB38">F23</f>
        <v>6935939</v>
      </c>
      <c r="G38" s="904">
        <f>G23</f>
        <v>888748</v>
      </c>
      <c r="H38" s="904">
        <f t="shared" si="7"/>
        <v>888748</v>
      </c>
      <c r="I38" s="904">
        <f>I23</f>
        <v>1448886</v>
      </c>
      <c r="J38" s="906">
        <f t="shared" si="7"/>
        <v>1560810</v>
      </c>
      <c r="K38" s="910">
        <f>K23</f>
        <v>0</v>
      </c>
      <c r="L38" s="904">
        <f t="shared" si="7"/>
        <v>0</v>
      </c>
      <c r="M38" s="904">
        <f>M23</f>
        <v>0</v>
      </c>
      <c r="N38" s="904">
        <f t="shared" si="7"/>
        <v>0</v>
      </c>
      <c r="O38" s="904">
        <f>O23</f>
        <v>0</v>
      </c>
      <c r="P38" s="908">
        <f t="shared" si="7"/>
        <v>0</v>
      </c>
      <c r="Q38" s="910">
        <f>Q23</f>
        <v>0</v>
      </c>
      <c r="R38" s="904">
        <f t="shared" si="7"/>
        <v>0</v>
      </c>
      <c r="S38" s="904">
        <f>S23</f>
        <v>0</v>
      </c>
      <c r="T38" s="904">
        <f t="shared" si="7"/>
        <v>0</v>
      </c>
      <c r="U38" s="904">
        <f>U23</f>
        <v>0</v>
      </c>
      <c r="V38" s="904">
        <f t="shared" si="7"/>
        <v>0</v>
      </c>
      <c r="W38" s="904">
        <f>W23</f>
        <v>0</v>
      </c>
      <c r="X38" s="905">
        <f t="shared" si="7"/>
        <v>0</v>
      </c>
      <c r="Y38" s="895">
        <f>Y23</f>
        <v>0</v>
      </c>
      <c r="Z38" s="904">
        <f t="shared" si="7"/>
        <v>0</v>
      </c>
      <c r="AA38" s="906">
        <f>AA23</f>
        <v>0</v>
      </c>
      <c r="AB38" s="907">
        <f t="shared" si="7"/>
        <v>0</v>
      </c>
      <c r="AC38" s="831"/>
      <c r="AD38" s="831"/>
    </row>
    <row r="39" spans="3:30" s="75" customFormat="1" ht="11.25"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1"/>
      <c r="AC39" s="831"/>
      <c r="AD39" s="831"/>
    </row>
    <row r="40" spans="3:30" s="75" customFormat="1" ht="11.25">
      <c r="C40" s="831">
        <f>C34+C36+C38</f>
        <v>300171805</v>
      </c>
      <c r="D40" s="831">
        <f>D34+D36+D38</f>
        <v>301507523</v>
      </c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1"/>
      <c r="Q40" s="831"/>
      <c r="R40" s="831"/>
      <c r="S40" s="831"/>
      <c r="T40" s="831"/>
      <c r="U40" s="831"/>
      <c r="V40" s="831"/>
      <c r="W40" s="831"/>
      <c r="X40" s="831"/>
      <c r="Y40" s="831"/>
      <c r="Z40" s="831"/>
      <c r="AA40" s="831"/>
      <c r="AB40" s="831"/>
      <c r="AC40" s="831"/>
      <c r="AD40" s="831"/>
    </row>
    <row r="41" spans="3:30" s="75" customFormat="1" ht="11.25"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</row>
    <row r="42" spans="3:30" s="75" customFormat="1" ht="11.25"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1"/>
      <c r="AB42" s="831"/>
      <c r="AC42" s="831"/>
      <c r="AD42" s="831"/>
    </row>
    <row r="43" spans="3:28" s="75" customFormat="1" ht="11.25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</row>
    <row r="44" spans="3:28" s="75" customFormat="1" ht="11.25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</row>
    <row r="45" spans="3:28" s="75" customFormat="1" ht="11.25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</row>
    <row r="46" spans="3:28" s="75" customFormat="1" ht="11.25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</row>
    <row r="47" spans="3:28" s="75" customFormat="1" ht="11.25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</row>
    <row r="48" spans="3:28" s="75" customFormat="1" ht="11.25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</row>
    <row r="49" spans="3:28" s="75" customFormat="1" ht="11.25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</row>
    <row r="50" spans="3:28" s="75" customFormat="1" ht="11.25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</row>
    <row r="51" spans="3:28" s="75" customFormat="1" ht="11.25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</row>
    <row r="52" spans="3:28" s="75" customFormat="1" ht="11.25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</row>
    <row r="53" spans="3:28" s="75" customFormat="1" ht="11.25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</row>
    <row r="54" spans="3:28" s="75" customFormat="1" ht="11.25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</row>
    <row r="55" spans="3:28" s="75" customFormat="1" ht="11.25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</row>
    <row r="56" spans="3:28" s="75" customFormat="1" ht="11.25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</row>
    <row r="57" spans="3:28" s="75" customFormat="1" ht="11.25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</row>
    <row r="58" spans="3:28" s="75" customFormat="1" ht="11.25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</row>
    <row r="59" spans="3:28" s="75" customFormat="1" ht="11.25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</row>
    <row r="60" spans="3:28" s="75" customFormat="1" ht="11.25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</row>
    <row r="61" spans="3:28" s="75" customFormat="1" ht="11.25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</row>
    <row r="62" spans="3:28" s="75" customFormat="1" ht="11.25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</row>
    <row r="63" spans="3:28" s="75" customFormat="1" ht="11.25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</row>
    <row r="64" spans="3:28" s="75" customFormat="1" ht="11.25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</row>
    <row r="65" spans="3:28" s="75" customFormat="1" ht="11.25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</row>
    <row r="66" spans="3:28" s="75" customFormat="1" ht="11.25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</row>
    <row r="67" spans="3:28" s="75" customFormat="1" ht="11.25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</row>
    <row r="68" spans="3:28" s="75" customFormat="1" ht="11.25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</row>
    <row r="69" spans="3:28" s="75" customFormat="1" ht="11.25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</row>
    <row r="70" spans="3:28" s="75" customFormat="1" ht="11.25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</row>
    <row r="71" spans="3:28" s="75" customFormat="1" ht="11.25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</row>
    <row r="72" spans="3:28" s="75" customFormat="1" ht="11.25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</row>
    <row r="73" spans="3:28" s="75" customFormat="1" ht="11.25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</row>
    <row r="74" spans="3:28" s="75" customFormat="1" ht="11.25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</row>
    <row r="75" spans="3:28" s="75" customFormat="1" ht="11.25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</row>
    <row r="76" spans="3:28" s="75" customFormat="1" ht="11.25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</row>
    <row r="77" spans="3:28" s="75" customFormat="1" ht="11.25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</row>
    <row r="78" spans="3:28" s="75" customFormat="1" ht="11.25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</row>
    <row r="79" spans="3:28" s="75" customFormat="1" ht="11.25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</row>
    <row r="80" s="75" customFormat="1" ht="11.25"/>
    <row r="81" s="75" customFormat="1" ht="11.25"/>
    <row r="82" s="75" customFormat="1" ht="11.25"/>
    <row r="83" s="75" customFormat="1" ht="11.25"/>
    <row r="84" s="75" customFormat="1" ht="11.25"/>
    <row r="85" s="75" customFormat="1" ht="11.25"/>
    <row r="86" s="75" customFormat="1" ht="11.25"/>
    <row r="87" s="75" customFormat="1" ht="11.25"/>
    <row r="88" s="75" customFormat="1" ht="11.25"/>
    <row r="89" s="75" customFormat="1" ht="11.25"/>
    <row r="90" s="75" customFormat="1" ht="11.25"/>
    <row r="91" s="75" customFormat="1" ht="11.25"/>
    <row r="92" s="75" customFormat="1" ht="11.25"/>
    <row r="93" s="75" customFormat="1" ht="11.25"/>
    <row r="94" s="75" customFormat="1" ht="11.25"/>
    <row r="95" s="75" customFormat="1" ht="11.25"/>
    <row r="96" s="75" customFormat="1" ht="11.25"/>
    <row r="97" s="75" customFormat="1" ht="11.25"/>
    <row r="98" s="75" customFormat="1" ht="11.25"/>
    <row r="99" s="75" customFormat="1" ht="11.25"/>
    <row r="100" s="75" customFormat="1" ht="11.25"/>
    <row r="101" s="75" customFormat="1" ht="11.25"/>
    <row r="102" s="75" customFormat="1" ht="11.25"/>
    <row r="103" s="75" customFormat="1" ht="11.25"/>
    <row r="104" s="75" customFormat="1" ht="11.25"/>
    <row r="105" s="75" customFormat="1" ht="11.25"/>
    <row r="106" s="75" customFormat="1" ht="11.25"/>
    <row r="107" s="75" customFormat="1" ht="11.25"/>
    <row r="108" s="75" customFormat="1" ht="11.25"/>
    <row r="109" s="75" customFormat="1" ht="11.25"/>
    <row r="110" s="75" customFormat="1" ht="11.25"/>
    <row r="111" s="75" customFormat="1" ht="11.25"/>
    <row r="112" s="75" customFormat="1" ht="11.25"/>
    <row r="113" s="75" customFormat="1" ht="11.25"/>
    <row r="114" s="75" customFormat="1" ht="11.25"/>
    <row r="115" s="75" customFormat="1" ht="11.25"/>
    <row r="116" s="75" customFormat="1" ht="11.25"/>
    <row r="117" s="75" customFormat="1" ht="11.25"/>
    <row r="118" s="75" customFormat="1" ht="11.25"/>
    <row r="119" s="75" customFormat="1" ht="11.25"/>
    <row r="120" s="74" customFormat="1" ht="12"/>
    <row r="121" s="74" customFormat="1" ht="12"/>
    <row r="122" s="74" customFormat="1" ht="12"/>
    <row r="123" s="74" customFormat="1" ht="12"/>
    <row r="124" s="74" customFormat="1" ht="12"/>
    <row r="125" s="74" customFormat="1" ht="12"/>
    <row r="126" s="74" customFormat="1" ht="12"/>
    <row r="127" s="74" customFormat="1" ht="12"/>
    <row r="128" s="74" customFormat="1" ht="12"/>
    <row r="129" s="74" customFormat="1" ht="12"/>
    <row r="130" s="74" customFormat="1" ht="12"/>
    <row r="131" s="74" customFormat="1" ht="12"/>
    <row r="132" s="74" customFormat="1" ht="12"/>
    <row r="133" s="74" customFormat="1" ht="12"/>
    <row r="134" s="74" customFormat="1" ht="12"/>
    <row r="135" s="74" customFormat="1" ht="12"/>
    <row r="136" s="74" customFormat="1" ht="12"/>
    <row r="137" s="74" customFormat="1" ht="12"/>
    <row r="138" s="74" customFormat="1" ht="12"/>
    <row r="139" s="74" customFormat="1" ht="12"/>
    <row r="140" s="74" customFormat="1" ht="12"/>
    <row r="141" s="74" customFormat="1" ht="12"/>
    <row r="142" s="74" customFormat="1" ht="12"/>
    <row r="143" s="74" customFormat="1" ht="12"/>
    <row r="144" s="74" customFormat="1" ht="12"/>
    <row r="145" s="74" customFormat="1" ht="12"/>
    <row r="146" s="74" customFormat="1" ht="12"/>
    <row r="147" s="74" customFormat="1" ht="12"/>
    <row r="148" s="74" customFormat="1" ht="12"/>
    <row r="149" s="74" customFormat="1" ht="12"/>
    <row r="150" s="74" customFormat="1" ht="12"/>
    <row r="151" s="74" customFormat="1" ht="12"/>
    <row r="152" s="74" customFormat="1" ht="12"/>
    <row r="153" s="74" customFormat="1" ht="12"/>
    <row r="154" s="74" customFormat="1" ht="12"/>
    <row r="155" s="74" customFormat="1" ht="12"/>
    <row r="156" s="74" customFormat="1" ht="12"/>
    <row r="157" s="74" customFormat="1" ht="12"/>
    <row r="158" s="74" customFormat="1" ht="12"/>
    <row r="159" s="74" customFormat="1" ht="12"/>
    <row r="160" s="74" customFormat="1" ht="12"/>
    <row r="161" s="74" customFormat="1" ht="12"/>
    <row r="162" s="74" customFormat="1" ht="12"/>
    <row r="163" s="74" customFormat="1" ht="12"/>
    <row r="164" s="74" customFormat="1" ht="12"/>
    <row r="165" s="74" customFormat="1" ht="12"/>
    <row r="166" s="74" customFormat="1" ht="12"/>
    <row r="167" s="74" customFormat="1" ht="12"/>
    <row r="168" s="74" customFormat="1" ht="12"/>
    <row r="169" s="74" customFormat="1" ht="12"/>
    <row r="170" s="74" customFormat="1" ht="12"/>
    <row r="171" s="74" customFormat="1" ht="12"/>
    <row r="172" s="74" customFormat="1" ht="12"/>
    <row r="173" s="74" customFormat="1" ht="12"/>
    <row r="174" s="74" customFormat="1" ht="12"/>
  </sheetData>
  <sheetProtection/>
  <mergeCells count="24">
    <mergeCell ref="Y9:Z10"/>
    <mergeCell ref="AA9:AB10"/>
    <mergeCell ref="Y8:AB8"/>
    <mergeCell ref="K9:L10"/>
    <mergeCell ref="M9:N10"/>
    <mergeCell ref="O9:P10"/>
    <mergeCell ref="U9:V10"/>
    <mergeCell ref="W9:X10"/>
    <mergeCell ref="C8:D10"/>
    <mergeCell ref="E9:F10"/>
    <mergeCell ref="G9:H10"/>
    <mergeCell ref="I9:J10"/>
    <mergeCell ref="Q9:R10"/>
    <mergeCell ref="S9:T10"/>
    <mergeCell ref="A38:B38"/>
    <mergeCell ref="B4:X4"/>
    <mergeCell ref="B6:X6"/>
    <mergeCell ref="A36:B36"/>
    <mergeCell ref="A12:B12"/>
    <mergeCell ref="A32:B32"/>
    <mergeCell ref="A34:B34"/>
    <mergeCell ref="A8:B11"/>
    <mergeCell ref="Q8:X8"/>
    <mergeCell ref="E8:P8"/>
  </mergeCells>
  <printOptions horizontalCentered="1"/>
  <pageMargins left="0.15748031496062992" right="0.15748031496062992" top="0.35433070866141736" bottom="0.31496062992125984" header="0.5118110236220472" footer="0.35433070866141736"/>
  <pageSetup fitToHeight="1" fitToWidth="1" horizontalDpi="600" verticalDpi="600" orientation="landscape" paperSize="8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U66"/>
  <sheetViews>
    <sheetView zoomScalePageLayoutView="0" workbookViewId="0" topLeftCell="B23">
      <selection activeCell="I47" sqref="I47"/>
    </sheetView>
  </sheetViews>
  <sheetFormatPr defaultColWidth="9.00390625" defaultRowHeight="12.75"/>
  <cols>
    <col min="1" max="1" width="5.125" style="0" customWidth="1"/>
    <col min="2" max="2" width="9.125" style="0" customWidth="1"/>
    <col min="3" max="3" width="41.25390625" style="0" customWidth="1"/>
    <col min="4" max="4" width="11.25390625" style="0" bestFit="1" customWidth="1"/>
    <col min="5" max="5" width="11.25390625" style="0" customWidth="1"/>
    <col min="6" max="6" width="9.25390625" style="0" bestFit="1" customWidth="1"/>
    <col min="7" max="7" width="9.25390625" style="0" customWidth="1"/>
    <col min="8" max="8" width="9.625" style="0" bestFit="1" customWidth="1"/>
    <col min="9" max="9" width="9.625" style="0" customWidth="1"/>
    <col min="10" max="10" width="9.25390625" style="0" bestFit="1" customWidth="1"/>
    <col min="11" max="11" width="9.25390625" style="0" customWidth="1"/>
    <col min="12" max="12" width="9.25390625" style="0" bestFit="1" customWidth="1"/>
    <col min="13" max="13" width="9.25390625" style="0" customWidth="1"/>
    <col min="14" max="14" width="9.25390625" style="0" bestFit="1" customWidth="1"/>
    <col min="15" max="15" width="9.25390625" style="0" customWidth="1"/>
    <col min="16" max="16" width="9.25390625" style="0" bestFit="1" customWidth="1"/>
    <col min="17" max="17" width="9.25390625" style="0" customWidth="1"/>
    <col min="18" max="18" width="9.625" style="0" bestFit="1" customWidth="1"/>
    <col min="19" max="19" width="9.625" style="0" customWidth="1"/>
    <col min="20" max="20" width="8.75390625" style="0" customWidth="1"/>
    <col min="21" max="21" width="9.25390625" style="0" customWidth="1"/>
  </cols>
  <sheetData>
    <row r="1" spans="3:5" ht="12.75">
      <c r="C1" s="247" t="s">
        <v>460</v>
      </c>
      <c r="D1" s="162" t="str">
        <f>'bev-int'!B1</f>
        <v>melléklet a …/2024. (III.  .) önkormányzati rendelethez</v>
      </c>
      <c r="E1" s="162"/>
    </row>
    <row r="4" spans="2:21" ht="12.75">
      <c r="B4" s="1274" t="s">
        <v>716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</row>
    <row r="5" spans="2:21" ht="12.75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2:21" ht="13.5" thickBot="1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T6" s="130" t="s">
        <v>322</v>
      </c>
      <c r="U6" s="130"/>
    </row>
    <row r="7" spans="2:21" ht="19.5" customHeight="1">
      <c r="B7" s="1217" t="s">
        <v>55</v>
      </c>
      <c r="C7" s="1218"/>
      <c r="D7" s="1229" t="s">
        <v>244</v>
      </c>
      <c r="E7" s="1218"/>
      <c r="F7" s="1225" t="s">
        <v>104</v>
      </c>
      <c r="G7" s="1226"/>
      <c r="H7" s="1226"/>
      <c r="I7" s="1226"/>
      <c r="J7" s="1226"/>
      <c r="K7" s="1228"/>
      <c r="L7" s="1225" t="s">
        <v>148</v>
      </c>
      <c r="M7" s="1226"/>
      <c r="N7" s="1226"/>
      <c r="O7" s="1226"/>
      <c r="P7" s="1226"/>
      <c r="Q7" s="1228"/>
      <c r="R7" s="1225" t="s">
        <v>81</v>
      </c>
      <c r="S7" s="1226"/>
      <c r="T7" s="1226"/>
      <c r="U7" s="1227"/>
    </row>
    <row r="8" spans="2:21" ht="13.5" customHeight="1">
      <c r="B8" s="1219"/>
      <c r="C8" s="1220"/>
      <c r="D8" s="1230"/>
      <c r="E8" s="1220"/>
      <c r="F8" s="1208" t="str">
        <f>'bev-int'!A15</f>
        <v>Működési célú támogatások ÁH belülről</v>
      </c>
      <c r="G8" s="1209"/>
      <c r="H8" s="1208" t="str">
        <f>'bev-int'!A27</f>
        <v>Működési bevételek</v>
      </c>
      <c r="I8" s="1209"/>
      <c r="J8" s="1208" t="str">
        <f>'bev-int'!A29</f>
        <v>Működési célú átvett pénzeszközök</v>
      </c>
      <c r="K8" s="1209"/>
      <c r="L8" s="1208" t="str">
        <f>'bev-int'!A21</f>
        <v>Felhalmozási célú támogatások ÁH belülről</v>
      </c>
      <c r="M8" s="1209"/>
      <c r="N8" s="1208" t="str">
        <f>'bev-int'!A28</f>
        <v>Felhalmozási bevételek</v>
      </c>
      <c r="O8" s="1209"/>
      <c r="P8" s="1208" t="str">
        <f>'bev-int'!A30</f>
        <v>Felhalmozási célú átvett pénzeszközök</v>
      </c>
      <c r="Q8" s="1209"/>
      <c r="R8" s="1212" t="str">
        <f>'bev-int'!A37</f>
        <v>Központi, irányító szervi támogatás</v>
      </c>
      <c r="S8" s="1213"/>
      <c r="T8" s="1208" t="str">
        <f>'bev-int'!A34</f>
        <v>Maradvány igénybevétele</v>
      </c>
      <c r="U8" s="1223"/>
    </row>
    <row r="9" spans="2:21" ht="19.5" customHeight="1" thickBot="1">
      <c r="B9" s="1219"/>
      <c r="C9" s="1220"/>
      <c r="D9" s="1231"/>
      <c r="E9" s="1232"/>
      <c r="F9" s="1210"/>
      <c r="G9" s="1211"/>
      <c r="H9" s="1210"/>
      <c r="I9" s="1211"/>
      <c r="J9" s="1210"/>
      <c r="K9" s="1211"/>
      <c r="L9" s="1210"/>
      <c r="M9" s="1211"/>
      <c r="N9" s="1210"/>
      <c r="O9" s="1211"/>
      <c r="P9" s="1210"/>
      <c r="Q9" s="1211"/>
      <c r="R9" s="1214"/>
      <c r="S9" s="1215"/>
      <c r="T9" s="1210"/>
      <c r="U9" s="1224"/>
    </row>
    <row r="10" spans="2:21" ht="18.75" customHeight="1" hidden="1" thickBot="1">
      <c r="B10" s="1219"/>
      <c r="C10" s="1220"/>
      <c r="D10" s="274" t="s">
        <v>465</v>
      </c>
      <c r="E10" s="272" t="s">
        <v>466</v>
      </c>
      <c r="F10" s="274" t="s">
        <v>465</v>
      </c>
      <c r="G10" s="272" t="s">
        <v>466</v>
      </c>
      <c r="H10" s="274" t="s">
        <v>465</v>
      </c>
      <c r="I10" s="272" t="s">
        <v>466</v>
      </c>
      <c r="J10" s="274" t="s">
        <v>465</v>
      </c>
      <c r="K10" s="272" t="s">
        <v>466</v>
      </c>
      <c r="L10" s="274" t="s">
        <v>465</v>
      </c>
      <c r="M10" s="272" t="s">
        <v>466</v>
      </c>
      <c r="N10" s="274" t="s">
        <v>465</v>
      </c>
      <c r="O10" s="272" t="s">
        <v>466</v>
      </c>
      <c r="P10" s="274" t="s">
        <v>465</v>
      </c>
      <c r="Q10" s="272" t="s">
        <v>466</v>
      </c>
      <c r="R10" s="274" t="s">
        <v>465</v>
      </c>
      <c r="S10" s="272" t="s">
        <v>466</v>
      </c>
      <c r="T10" s="274" t="s">
        <v>465</v>
      </c>
      <c r="U10" s="272" t="s">
        <v>466</v>
      </c>
    </row>
    <row r="11" spans="2:21" ht="12.75">
      <c r="B11" s="1200"/>
      <c r="C11" s="1201"/>
      <c r="D11" s="820"/>
      <c r="E11" s="820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9"/>
      <c r="U11" s="823"/>
    </row>
    <row r="12" spans="2:21" ht="15" customHeight="1">
      <c r="B12" s="98" t="s">
        <v>257</v>
      </c>
      <c r="C12" s="88" t="s">
        <v>302</v>
      </c>
      <c r="D12" s="808">
        <f aca="true" t="shared" si="0" ref="D12:E16">F12+H12+J12+L12+N12+P12+R12+T12</f>
        <v>0</v>
      </c>
      <c r="E12" s="808">
        <f t="shared" si="0"/>
        <v>0</v>
      </c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1"/>
      <c r="U12" s="812"/>
    </row>
    <row r="13" spans="2:21" ht="15" customHeight="1">
      <c r="B13" s="98" t="s">
        <v>257</v>
      </c>
      <c r="C13" s="88" t="s">
        <v>303</v>
      </c>
      <c r="D13" s="808">
        <f t="shared" si="0"/>
        <v>0</v>
      </c>
      <c r="E13" s="808">
        <f t="shared" si="0"/>
        <v>0</v>
      </c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1"/>
      <c r="U13" s="812"/>
    </row>
    <row r="14" spans="2:21" ht="15" customHeight="1">
      <c r="B14" s="98" t="s">
        <v>257</v>
      </c>
      <c r="C14" s="88" t="s">
        <v>304</v>
      </c>
      <c r="D14" s="808">
        <f t="shared" si="0"/>
        <v>0</v>
      </c>
      <c r="E14" s="808">
        <f t="shared" si="0"/>
        <v>52400</v>
      </c>
      <c r="F14" s="810"/>
      <c r="G14" s="810"/>
      <c r="H14" s="810"/>
      <c r="I14" s="810">
        <v>52400</v>
      </c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1"/>
      <c r="U14" s="812"/>
    </row>
    <row r="15" spans="2:21" ht="15" customHeight="1">
      <c r="B15" s="98" t="s">
        <v>257</v>
      </c>
      <c r="C15" s="109" t="s">
        <v>300</v>
      </c>
      <c r="D15" s="808">
        <f t="shared" si="0"/>
        <v>0</v>
      </c>
      <c r="E15" s="808">
        <f t="shared" si="0"/>
        <v>2285</v>
      </c>
      <c r="F15" s="810"/>
      <c r="G15" s="810"/>
      <c r="H15" s="810"/>
      <c r="I15" s="810">
        <v>2285</v>
      </c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1"/>
      <c r="U15" s="812"/>
    </row>
    <row r="16" spans="2:21" ht="15" customHeight="1">
      <c r="B16" s="110" t="s">
        <v>257</v>
      </c>
      <c r="C16" s="88" t="s">
        <v>261</v>
      </c>
      <c r="D16" s="808">
        <f t="shared" si="0"/>
        <v>232211841</v>
      </c>
      <c r="E16" s="808">
        <f t="shared" si="0"/>
        <v>234402454</v>
      </c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>
        <v>232211841</v>
      </c>
      <c r="S16" s="810">
        <f>232211841+1628756</f>
        <v>233840597</v>
      </c>
      <c r="T16" s="811"/>
      <c r="U16" s="812">
        <v>561857</v>
      </c>
    </row>
    <row r="17" spans="2:21" ht="15" customHeight="1">
      <c r="B17" s="98"/>
      <c r="C17" s="100" t="s">
        <v>281</v>
      </c>
      <c r="D17" s="808">
        <f>SUM(D12:D16)</f>
        <v>232211841</v>
      </c>
      <c r="E17" s="808">
        <f>SUM(E12:E16)</f>
        <v>234457139</v>
      </c>
      <c r="F17" s="808">
        <f>SUM(F12:F16)</f>
        <v>0</v>
      </c>
      <c r="G17" s="808">
        <f aca="true" t="shared" si="1" ref="G17:U17">SUM(G12:G16)</f>
        <v>0</v>
      </c>
      <c r="H17" s="808">
        <f>SUM(H12:H16)</f>
        <v>0</v>
      </c>
      <c r="I17" s="808">
        <f t="shared" si="1"/>
        <v>54685</v>
      </c>
      <c r="J17" s="808">
        <f>SUM(J12:J16)</f>
        <v>0</v>
      </c>
      <c r="K17" s="808">
        <f t="shared" si="1"/>
        <v>0</v>
      </c>
      <c r="L17" s="808">
        <f>SUM(L12:L16)</f>
        <v>0</v>
      </c>
      <c r="M17" s="808">
        <f t="shared" si="1"/>
        <v>0</v>
      </c>
      <c r="N17" s="808">
        <f>SUM(N12:N16)</f>
        <v>0</v>
      </c>
      <c r="O17" s="808">
        <f t="shared" si="1"/>
        <v>0</v>
      </c>
      <c r="P17" s="808">
        <f>SUM(P12:P16)</f>
        <v>0</v>
      </c>
      <c r="Q17" s="808">
        <f t="shared" si="1"/>
        <v>0</v>
      </c>
      <c r="R17" s="808">
        <f>SUM(R12:R16)</f>
        <v>232211841</v>
      </c>
      <c r="S17" s="808">
        <f t="shared" si="1"/>
        <v>233840597</v>
      </c>
      <c r="T17" s="851">
        <f>SUM(T12:T16)</f>
        <v>0</v>
      </c>
      <c r="U17" s="852">
        <f t="shared" si="1"/>
        <v>561857</v>
      </c>
    </row>
    <row r="18" spans="2:21" ht="15" customHeight="1">
      <c r="B18" s="98"/>
      <c r="C18" s="88"/>
      <c r="D18" s="808"/>
      <c r="E18" s="808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1"/>
      <c r="U18" s="812"/>
    </row>
    <row r="19" spans="2:21" ht="15.75" customHeight="1" hidden="1">
      <c r="B19" s="98" t="s">
        <v>257</v>
      </c>
      <c r="C19" s="88" t="s">
        <v>282</v>
      </c>
      <c r="D19" s="808">
        <f>F19+H19+J19+L19+N19+P19+R19+T19</f>
        <v>0</v>
      </c>
      <c r="E19" s="808">
        <f>G19+I19+K19+M19+O19+Q19+S19+U19</f>
        <v>0</v>
      </c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1"/>
      <c r="U19" s="812"/>
    </row>
    <row r="20" spans="2:21" ht="15" customHeight="1">
      <c r="B20" s="98" t="s">
        <v>257</v>
      </c>
      <c r="C20" s="88" t="s">
        <v>283</v>
      </c>
      <c r="D20" s="808">
        <f aca="true" t="shared" si="2" ref="D20:D25">F20+H20+J20+L20+N20+P20+R20+T20</f>
        <v>190500</v>
      </c>
      <c r="E20" s="808">
        <f aca="true" t="shared" si="3" ref="E20:E25">G20+I20+K20+M20+O20+Q20+S20+U20</f>
        <v>185820</v>
      </c>
      <c r="F20" s="810"/>
      <c r="G20" s="810"/>
      <c r="H20" s="810">
        <v>190500</v>
      </c>
      <c r="I20" s="810">
        <f>190500-4680</f>
        <v>185820</v>
      </c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1"/>
      <c r="U20" s="812"/>
    </row>
    <row r="21" spans="2:21" ht="15" customHeight="1">
      <c r="B21" s="98" t="s">
        <v>257</v>
      </c>
      <c r="C21" s="88" t="s">
        <v>284</v>
      </c>
      <c r="D21" s="808">
        <f t="shared" si="2"/>
        <v>15998119</v>
      </c>
      <c r="E21" s="808">
        <f t="shared" si="3"/>
        <v>13003655</v>
      </c>
      <c r="F21" s="810">
        <v>3516119</v>
      </c>
      <c r="G21" s="810">
        <v>0</v>
      </c>
      <c r="H21" s="810">
        <v>12482000</v>
      </c>
      <c r="I21" s="810">
        <f>12482000+521655</f>
        <v>13003655</v>
      </c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1"/>
      <c r="U21" s="812"/>
    </row>
    <row r="22" spans="2:21" ht="15" customHeight="1">
      <c r="B22" s="98" t="s">
        <v>257</v>
      </c>
      <c r="C22" s="88" t="s">
        <v>534</v>
      </c>
      <c r="D22" s="808">
        <f aca="true" t="shared" si="4" ref="D22:E24">F22+H22+J22+L22+N22+P22+R22+T22</f>
        <v>0</v>
      </c>
      <c r="E22" s="808">
        <f t="shared" si="4"/>
        <v>0</v>
      </c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1"/>
      <c r="U22" s="812"/>
    </row>
    <row r="23" spans="2:21" ht="15" customHeight="1">
      <c r="B23" s="98" t="s">
        <v>257</v>
      </c>
      <c r="C23" s="88" t="s">
        <v>533</v>
      </c>
      <c r="D23" s="808">
        <f t="shared" si="4"/>
        <v>25400</v>
      </c>
      <c r="E23" s="808">
        <f t="shared" si="4"/>
        <v>6200</v>
      </c>
      <c r="F23" s="810"/>
      <c r="G23" s="810"/>
      <c r="H23" s="810">
        <v>25400</v>
      </c>
      <c r="I23" s="810">
        <f>25400-19200</f>
        <v>6200</v>
      </c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1"/>
      <c r="U23" s="812"/>
    </row>
    <row r="24" spans="2:21" ht="15" customHeight="1">
      <c r="B24" s="517" t="s">
        <v>404</v>
      </c>
      <c r="C24" s="88" t="s">
        <v>547</v>
      </c>
      <c r="D24" s="808">
        <f t="shared" si="4"/>
        <v>0</v>
      </c>
      <c r="E24" s="808">
        <f t="shared" si="4"/>
        <v>0</v>
      </c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1"/>
      <c r="U24" s="812"/>
    </row>
    <row r="25" spans="2:21" ht="15" customHeight="1">
      <c r="B25" s="110" t="s">
        <v>257</v>
      </c>
      <c r="C25" s="88" t="s">
        <v>261</v>
      </c>
      <c r="D25" s="808">
        <f t="shared" si="2"/>
        <v>84264728</v>
      </c>
      <c r="E25" s="808">
        <f t="shared" si="3"/>
        <v>88118041</v>
      </c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>
        <v>84264728</v>
      </c>
      <c r="S25" s="810">
        <f>84264728+290000+3516119-497775</f>
        <v>87573072</v>
      </c>
      <c r="T25" s="811"/>
      <c r="U25" s="812">
        <v>544969</v>
      </c>
    </row>
    <row r="26" spans="2:21" ht="15" customHeight="1">
      <c r="B26" s="98"/>
      <c r="C26" s="100" t="s">
        <v>306</v>
      </c>
      <c r="D26" s="808">
        <f aca="true" t="shared" si="5" ref="D26:U26">SUM(D19:D25)</f>
        <v>100478747</v>
      </c>
      <c r="E26" s="808">
        <f>SUM(E19:E25)</f>
        <v>101313716</v>
      </c>
      <c r="F26" s="808">
        <f t="shared" si="5"/>
        <v>3516119</v>
      </c>
      <c r="G26" s="808">
        <f t="shared" si="5"/>
        <v>0</v>
      </c>
      <c r="H26" s="808">
        <f t="shared" si="5"/>
        <v>12697900</v>
      </c>
      <c r="I26" s="808">
        <f t="shared" si="5"/>
        <v>13195675</v>
      </c>
      <c r="J26" s="808">
        <f t="shared" si="5"/>
        <v>0</v>
      </c>
      <c r="K26" s="808">
        <f t="shared" si="5"/>
        <v>0</v>
      </c>
      <c r="L26" s="808">
        <f t="shared" si="5"/>
        <v>0</v>
      </c>
      <c r="M26" s="808">
        <f t="shared" si="5"/>
        <v>0</v>
      </c>
      <c r="N26" s="808">
        <f t="shared" si="5"/>
        <v>0</v>
      </c>
      <c r="O26" s="808">
        <f t="shared" si="5"/>
        <v>0</v>
      </c>
      <c r="P26" s="808">
        <f t="shared" si="5"/>
        <v>0</v>
      </c>
      <c r="Q26" s="808">
        <f t="shared" si="5"/>
        <v>0</v>
      </c>
      <c r="R26" s="808">
        <f t="shared" si="5"/>
        <v>84264728</v>
      </c>
      <c r="S26" s="808">
        <f t="shared" si="5"/>
        <v>87573072</v>
      </c>
      <c r="T26" s="851">
        <f t="shared" si="5"/>
        <v>0</v>
      </c>
      <c r="U26" s="852">
        <f t="shared" si="5"/>
        <v>544969</v>
      </c>
    </row>
    <row r="27" spans="2:21" ht="15" customHeight="1">
      <c r="B27" s="98"/>
      <c r="C27" s="88"/>
      <c r="D27" s="808"/>
      <c r="E27" s="808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1"/>
      <c r="U27" s="812"/>
    </row>
    <row r="28" spans="2:21" ht="15" customHeight="1">
      <c r="B28" s="524" t="s">
        <v>404</v>
      </c>
      <c r="C28" s="88" t="s">
        <v>518</v>
      </c>
      <c r="D28" s="808">
        <f aca="true" t="shared" si="6" ref="D28:E30">F28+H28+J28+L28+N28+P28+R28+T28</f>
        <v>40229130</v>
      </c>
      <c r="E28" s="808">
        <f t="shared" si="6"/>
        <v>0</v>
      </c>
      <c r="F28" s="810"/>
      <c r="G28" s="810"/>
      <c r="H28" s="810"/>
      <c r="I28" s="810"/>
      <c r="J28" s="810">
        <v>40229130</v>
      </c>
      <c r="K28" s="810">
        <f>40229130-9633910-16559788-14035432</f>
        <v>0</v>
      </c>
      <c r="L28" s="810"/>
      <c r="M28" s="810"/>
      <c r="N28" s="810"/>
      <c r="O28" s="810"/>
      <c r="P28" s="810"/>
      <c r="Q28" s="810"/>
      <c r="R28" s="810"/>
      <c r="S28" s="810"/>
      <c r="T28" s="811"/>
      <c r="U28" s="812"/>
    </row>
    <row r="29" spans="2:21" ht="15" customHeight="1">
      <c r="B29" s="524" t="s">
        <v>404</v>
      </c>
      <c r="C29" s="88" t="s">
        <v>517</v>
      </c>
      <c r="D29" s="808">
        <f t="shared" si="6"/>
        <v>186056730</v>
      </c>
      <c r="E29" s="808">
        <f t="shared" si="6"/>
        <v>157084152</v>
      </c>
      <c r="F29" s="810"/>
      <c r="G29" s="810"/>
      <c r="H29" s="810">
        <v>186056730</v>
      </c>
      <c r="I29" s="810">
        <f>186056730-28972578</f>
        <v>157084152</v>
      </c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1"/>
      <c r="U29" s="812"/>
    </row>
    <row r="30" spans="2:21" ht="15" customHeight="1">
      <c r="B30" s="524" t="s">
        <v>404</v>
      </c>
      <c r="C30" s="88" t="s">
        <v>519</v>
      </c>
      <c r="D30" s="808">
        <f t="shared" si="6"/>
        <v>8000330</v>
      </c>
      <c r="E30" s="808">
        <f t="shared" si="6"/>
        <v>8000330</v>
      </c>
      <c r="F30" s="810"/>
      <c r="G30" s="810"/>
      <c r="H30" s="810">
        <v>8000330</v>
      </c>
      <c r="I30" s="810">
        <v>8000330</v>
      </c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1"/>
      <c r="U30" s="812"/>
    </row>
    <row r="31" spans="2:21" ht="15" customHeight="1">
      <c r="B31" s="524" t="s">
        <v>404</v>
      </c>
      <c r="C31" s="88" t="s">
        <v>593</v>
      </c>
      <c r="D31" s="808">
        <f aca="true" t="shared" si="7" ref="D31:E34">F31+H31+J31+L31+N31+P31+R31+T31</f>
        <v>1285240</v>
      </c>
      <c r="E31" s="808">
        <f t="shared" si="7"/>
        <v>1051023</v>
      </c>
      <c r="F31" s="810"/>
      <c r="G31" s="810"/>
      <c r="H31" s="810">
        <v>1285240</v>
      </c>
      <c r="I31" s="810">
        <f>1285240-234217</f>
        <v>1051023</v>
      </c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1"/>
      <c r="U31" s="812"/>
    </row>
    <row r="32" spans="2:21" ht="15" customHeight="1">
      <c r="B32" s="524" t="s">
        <v>286</v>
      </c>
      <c r="C32" s="88" t="s">
        <v>285</v>
      </c>
      <c r="D32" s="808">
        <f t="shared" si="7"/>
        <v>1300000</v>
      </c>
      <c r="E32" s="808">
        <f t="shared" si="7"/>
        <v>1490770</v>
      </c>
      <c r="F32" s="810"/>
      <c r="G32" s="810"/>
      <c r="H32" s="810">
        <v>1300000</v>
      </c>
      <c r="I32" s="810">
        <f>1300000+190770</f>
        <v>1490770</v>
      </c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1"/>
      <c r="U32" s="812"/>
    </row>
    <row r="33" spans="2:21" ht="15" customHeight="1">
      <c r="B33" s="110" t="s">
        <v>404</v>
      </c>
      <c r="C33" s="88" t="s">
        <v>261</v>
      </c>
      <c r="D33" s="808">
        <f t="shared" si="7"/>
        <v>325943947</v>
      </c>
      <c r="E33" s="808">
        <f t="shared" si="7"/>
        <v>398722031</v>
      </c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>
        <v>325943947</v>
      </c>
      <c r="S33" s="810">
        <f>325943947+45428281+16559788+10156238</f>
        <v>398088254</v>
      </c>
      <c r="T33" s="811"/>
      <c r="U33" s="812">
        <v>633777</v>
      </c>
    </row>
    <row r="34" spans="2:21" ht="15" customHeight="1">
      <c r="B34" s="110" t="s">
        <v>404</v>
      </c>
      <c r="C34" s="88" t="s">
        <v>890</v>
      </c>
      <c r="D34" s="808">
        <f t="shared" si="7"/>
        <v>0</v>
      </c>
      <c r="E34" s="808">
        <f t="shared" si="7"/>
        <v>7427949</v>
      </c>
      <c r="F34" s="810"/>
      <c r="G34" s="810"/>
      <c r="H34" s="810"/>
      <c r="I34" s="810">
        <v>7427949</v>
      </c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1"/>
      <c r="U34" s="812"/>
    </row>
    <row r="35" spans="2:21" ht="15" customHeight="1">
      <c r="B35" s="98"/>
      <c r="C35" s="100" t="s">
        <v>305</v>
      </c>
      <c r="D35" s="808">
        <f>SUM(D28:D34)</f>
        <v>562815377</v>
      </c>
      <c r="E35" s="808">
        <f aca="true" t="shared" si="8" ref="E35:U35">SUM(E28:E34)</f>
        <v>573776255</v>
      </c>
      <c r="F35" s="808">
        <f t="shared" si="8"/>
        <v>0</v>
      </c>
      <c r="G35" s="808">
        <f t="shared" si="8"/>
        <v>0</v>
      </c>
      <c r="H35" s="808">
        <f t="shared" si="8"/>
        <v>196642300</v>
      </c>
      <c r="I35" s="808">
        <f t="shared" si="8"/>
        <v>175054224</v>
      </c>
      <c r="J35" s="808">
        <f t="shared" si="8"/>
        <v>40229130</v>
      </c>
      <c r="K35" s="808">
        <f t="shared" si="8"/>
        <v>0</v>
      </c>
      <c r="L35" s="808">
        <f t="shared" si="8"/>
        <v>0</v>
      </c>
      <c r="M35" s="808">
        <f t="shared" si="8"/>
        <v>0</v>
      </c>
      <c r="N35" s="808">
        <f t="shared" si="8"/>
        <v>0</v>
      </c>
      <c r="O35" s="808">
        <f t="shared" si="8"/>
        <v>0</v>
      </c>
      <c r="P35" s="808">
        <f t="shared" si="8"/>
        <v>0</v>
      </c>
      <c r="Q35" s="808">
        <f t="shared" si="8"/>
        <v>0</v>
      </c>
      <c r="R35" s="808">
        <f t="shared" si="8"/>
        <v>325943947</v>
      </c>
      <c r="S35" s="808">
        <f t="shared" si="8"/>
        <v>398088254</v>
      </c>
      <c r="T35" s="808">
        <f t="shared" si="8"/>
        <v>0</v>
      </c>
      <c r="U35" s="808">
        <f t="shared" si="8"/>
        <v>633777</v>
      </c>
    </row>
    <row r="36" spans="2:21" ht="15" customHeight="1">
      <c r="B36" s="98"/>
      <c r="C36" s="88"/>
      <c r="D36" s="808"/>
      <c r="E36" s="808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1"/>
      <c r="U36" s="812"/>
    </row>
    <row r="37" spans="2:21" ht="15" customHeight="1">
      <c r="B37" s="110" t="s">
        <v>257</v>
      </c>
      <c r="C37" s="109" t="s">
        <v>258</v>
      </c>
      <c r="D37" s="808">
        <f aca="true" t="shared" si="9" ref="D37:D46">F37+H37+J37+L37+N37+P37+R37+T37</f>
        <v>2914000</v>
      </c>
      <c r="E37" s="808">
        <f aca="true" t="shared" si="10" ref="E37:E46">G37+I37+K37+M37+O37+Q37+S37+U37</f>
        <v>3187350</v>
      </c>
      <c r="F37" s="810"/>
      <c r="G37" s="810"/>
      <c r="H37" s="810">
        <v>2914000</v>
      </c>
      <c r="I37" s="810">
        <v>3187350</v>
      </c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1"/>
      <c r="U37" s="812"/>
    </row>
    <row r="38" spans="2:21" ht="15" customHeight="1">
      <c r="B38" s="110" t="s">
        <v>257</v>
      </c>
      <c r="C38" s="109" t="s">
        <v>263</v>
      </c>
      <c r="D38" s="808">
        <f t="shared" si="9"/>
        <v>0</v>
      </c>
      <c r="E38" s="808">
        <f t="shared" si="10"/>
        <v>0</v>
      </c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1"/>
      <c r="U38" s="812"/>
    </row>
    <row r="39" spans="2:21" ht="15" customHeight="1">
      <c r="B39" s="110" t="s">
        <v>257</v>
      </c>
      <c r="C39" s="109" t="s">
        <v>287</v>
      </c>
      <c r="D39" s="808">
        <f t="shared" si="9"/>
        <v>0</v>
      </c>
      <c r="E39" s="808">
        <f t="shared" si="10"/>
        <v>0</v>
      </c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1"/>
      <c r="U39" s="812"/>
    </row>
    <row r="40" spans="2:21" ht="15" customHeight="1">
      <c r="B40" s="110" t="s">
        <v>257</v>
      </c>
      <c r="C40" s="109" t="s">
        <v>288</v>
      </c>
      <c r="D40" s="808">
        <f t="shared" si="9"/>
        <v>9055935</v>
      </c>
      <c r="E40" s="808">
        <f t="shared" si="10"/>
        <v>182060</v>
      </c>
      <c r="F40" s="810"/>
      <c r="G40" s="810"/>
      <c r="H40" s="810">
        <v>9055935</v>
      </c>
      <c r="I40" s="810">
        <v>182060</v>
      </c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1"/>
      <c r="U40" s="812"/>
    </row>
    <row r="41" spans="2:21" ht="15" customHeight="1">
      <c r="B41" s="110" t="s">
        <v>257</v>
      </c>
      <c r="C41" s="109" t="s">
        <v>300</v>
      </c>
      <c r="D41" s="808">
        <f t="shared" si="9"/>
        <v>20765802</v>
      </c>
      <c r="E41" s="808">
        <f t="shared" si="10"/>
        <v>18281668</v>
      </c>
      <c r="F41" s="810"/>
      <c r="G41" s="809"/>
      <c r="H41" s="810">
        <v>20765802</v>
      </c>
      <c r="I41" s="810">
        <v>18281668</v>
      </c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1"/>
      <c r="U41" s="812"/>
    </row>
    <row r="42" spans="2:21" ht="15" customHeight="1">
      <c r="B42" s="110" t="s">
        <v>257</v>
      </c>
      <c r="C42" s="109" t="s">
        <v>301</v>
      </c>
      <c r="D42" s="808">
        <f t="shared" si="9"/>
        <v>348615</v>
      </c>
      <c r="E42" s="808">
        <f t="shared" si="10"/>
        <v>1481150</v>
      </c>
      <c r="F42" s="810"/>
      <c r="G42" s="809"/>
      <c r="H42" s="810">
        <v>348615</v>
      </c>
      <c r="I42" s="810">
        <v>1481150</v>
      </c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1"/>
      <c r="U42" s="812"/>
    </row>
    <row r="43" spans="2:21" ht="15" customHeight="1">
      <c r="B43" s="110" t="s">
        <v>257</v>
      </c>
      <c r="C43" s="109" t="s">
        <v>339</v>
      </c>
      <c r="D43" s="808">
        <f t="shared" si="9"/>
        <v>0</v>
      </c>
      <c r="E43" s="808">
        <f t="shared" si="10"/>
        <v>0</v>
      </c>
      <c r="F43" s="810"/>
      <c r="G43" s="809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1"/>
      <c r="U43" s="812"/>
    </row>
    <row r="44" spans="2:21" ht="15" customHeight="1">
      <c r="B44" s="110" t="s">
        <v>257</v>
      </c>
      <c r="C44" s="109" t="s">
        <v>594</v>
      </c>
      <c r="D44" s="808">
        <f t="shared" si="9"/>
        <v>0</v>
      </c>
      <c r="E44" s="808">
        <f t="shared" si="10"/>
        <v>0</v>
      </c>
      <c r="F44" s="810"/>
      <c r="G44" s="809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1"/>
      <c r="U44" s="812"/>
    </row>
    <row r="45" spans="2:21" ht="37.5" customHeight="1">
      <c r="B45" s="110" t="s">
        <v>404</v>
      </c>
      <c r="C45" s="507" t="s">
        <v>922</v>
      </c>
      <c r="D45" s="808">
        <f t="shared" si="9"/>
        <v>22199346</v>
      </c>
      <c r="E45" s="808">
        <f t="shared" si="10"/>
        <v>35794016</v>
      </c>
      <c r="F45" s="810"/>
      <c r="G45" s="809"/>
      <c r="H45" s="810">
        <v>22199346</v>
      </c>
      <c r="I45" s="810">
        <f>16584238+19209778</f>
        <v>35794016</v>
      </c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1"/>
      <c r="U45" s="812"/>
    </row>
    <row r="46" spans="2:21" ht="15" customHeight="1">
      <c r="B46" s="110" t="s">
        <v>257</v>
      </c>
      <c r="C46" s="88" t="s">
        <v>261</v>
      </c>
      <c r="D46" s="808">
        <f t="shared" si="9"/>
        <v>203050682</v>
      </c>
      <c r="E46" s="808">
        <f t="shared" si="10"/>
        <v>201534253</v>
      </c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>
        <v>203050682</v>
      </c>
      <c r="S46" s="810">
        <v>200858136</v>
      </c>
      <c r="T46" s="811"/>
      <c r="U46" s="812">
        <v>676117</v>
      </c>
    </row>
    <row r="47" spans="2:21" ht="15" customHeight="1">
      <c r="B47" s="98"/>
      <c r="C47" s="100" t="s">
        <v>348</v>
      </c>
      <c r="D47" s="808">
        <f>SUM(D36:D46)</f>
        <v>258334380</v>
      </c>
      <c r="E47" s="808">
        <f>SUM(E36:E46)</f>
        <v>260460497</v>
      </c>
      <c r="F47" s="808">
        <f aca="true" t="shared" si="11" ref="F47:R47">SUM(F36:F46)</f>
        <v>0</v>
      </c>
      <c r="G47" s="808">
        <f t="shared" si="11"/>
        <v>0</v>
      </c>
      <c r="H47" s="808">
        <f t="shared" si="11"/>
        <v>55283698</v>
      </c>
      <c r="I47" s="808">
        <f t="shared" si="11"/>
        <v>58926244</v>
      </c>
      <c r="J47" s="808">
        <f t="shared" si="11"/>
        <v>0</v>
      </c>
      <c r="K47" s="808">
        <f t="shared" si="11"/>
        <v>0</v>
      </c>
      <c r="L47" s="808">
        <f t="shared" si="11"/>
        <v>0</v>
      </c>
      <c r="M47" s="808">
        <f t="shared" si="11"/>
        <v>0</v>
      </c>
      <c r="N47" s="808">
        <f t="shared" si="11"/>
        <v>0</v>
      </c>
      <c r="O47" s="808">
        <f t="shared" si="11"/>
        <v>0</v>
      </c>
      <c r="P47" s="808">
        <f t="shared" si="11"/>
        <v>0</v>
      </c>
      <c r="Q47" s="808">
        <f t="shared" si="11"/>
        <v>0</v>
      </c>
      <c r="R47" s="808">
        <f t="shared" si="11"/>
        <v>203050682</v>
      </c>
      <c r="S47" s="808">
        <f>SUM(S36:S46)</f>
        <v>200858136</v>
      </c>
      <c r="T47" s="851">
        <f>SUM(T36:T46)</f>
        <v>0</v>
      </c>
      <c r="U47" s="852">
        <f>SUM(U36:U46)</f>
        <v>676117</v>
      </c>
    </row>
    <row r="48" spans="2:21" ht="15" customHeight="1" thickBot="1">
      <c r="B48" s="263"/>
      <c r="C48" s="264"/>
      <c r="D48" s="813"/>
      <c r="E48" s="813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6"/>
      <c r="U48" s="817"/>
    </row>
    <row r="49" spans="2:21" ht="15" customHeight="1" thickBot="1">
      <c r="B49" s="1243" t="s">
        <v>71</v>
      </c>
      <c r="C49" s="1275"/>
      <c r="D49" s="818">
        <f aca="true" t="shared" si="12" ref="D49:U49">D17+D26+D35+D47</f>
        <v>1153840345</v>
      </c>
      <c r="E49" s="818">
        <f>E17+E26+E35+E47</f>
        <v>1170007607</v>
      </c>
      <c r="F49" s="818">
        <f t="shared" si="12"/>
        <v>3516119</v>
      </c>
      <c r="G49" s="818">
        <f t="shared" si="12"/>
        <v>0</v>
      </c>
      <c r="H49" s="818">
        <f t="shared" si="12"/>
        <v>264623898</v>
      </c>
      <c r="I49" s="818">
        <f t="shared" si="12"/>
        <v>247230828</v>
      </c>
      <c r="J49" s="818">
        <f t="shared" si="12"/>
        <v>40229130</v>
      </c>
      <c r="K49" s="818">
        <f t="shared" si="12"/>
        <v>0</v>
      </c>
      <c r="L49" s="818">
        <f t="shared" si="12"/>
        <v>0</v>
      </c>
      <c r="M49" s="818">
        <f t="shared" si="12"/>
        <v>0</v>
      </c>
      <c r="N49" s="818">
        <f t="shared" si="12"/>
        <v>0</v>
      </c>
      <c r="O49" s="818">
        <f t="shared" si="12"/>
        <v>0</v>
      </c>
      <c r="P49" s="818">
        <f t="shared" si="12"/>
        <v>0</v>
      </c>
      <c r="Q49" s="818">
        <f t="shared" si="12"/>
        <v>0</v>
      </c>
      <c r="R49" s="818">
        <f t="shared" si="12"/>
        <v>845471198</v>
      </c>
      <c r="S49" s="818">
        <f t="shared" si="12"/>
        <v>920360059</v>
      </c>
      <c r="T49" s="885">
        <f t="shared" si="12"/>
        <v>0</v>
      </c>
      <c r="U49" s="886">
        <f t="shared" si="12"/>
        <v>2416720</v>
      </c>
    </row>
    <row r="50" spans="2:21" ht="15" customHeight="1" thickBot="1">
      <c r="B50" s="265"/>
      <c r="C50" s="266"/>
      <c r="D50" s="923"/>
      <c r="E50" s="923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93"/>
      <c r="U50" s="894"/>
    </row>
    <row r="51" spans="2:21" ht="15" customHeight="1" thickBot="1">
      <c r="B51" s="1243" t="s">
        <v>9</v>
      </c>
      <c r="C51" s="1275"/>
      <c r="D51" s="904">
        <f>D49-D53-D55</f>
        <v>570110862</v>
      </c>
      <c r="E51" s="904">
        <f>E49-E53-E55</f>
        <v>567865285</v>
      </c>
      <c r="F51" s="904">
        <f aca="true" t="shared" si="13" ref="F51:T51">F49-F53-F55</f>
        <v>3516119</v>
      </c>
      <c r="G51" s="904">
        <f t="shared" si="13"/>
        <v>0</v>
      </c>
      <c r="H51" s="904">
        <f t="shared" si="13"/>
        <v>45782252</v>
      </c>
      <c r="I51" s="904">
        <f t="shared" si="13"/>
        <v>43810537</v>
      </c>
      <c r="J51" s="904">
        <f t="shared" si="13"/>
        <v>0</v>
      </c>
      <c r="K51" s="904">
        <f t="shared" si="13"/>
        <v>0</v>
      </c>
      <c r="L51" s="904">
        <f t="shared" si="13"/>
        <v>0</v>
      </c>
      <c r="M51" s="904">
        <f t="shared" si="13"/>
        <v>0</v>
      </c>
      <c r="N51" s="904">
        <f t="shared" si="13"/>
        <v>0</v>
      </c>
      <c r="O51" s="904">
        <f t="shared" si="13"/>
        <v>0</v>
      </c>
      <c r="P51" s="904">
        <f t="shared" si="13"/>
        <v>0</v>
      </c>
      <c r="Q51" s="904">
        <f t="shared" si="13"/>
        <v>0</v>
      </c>
      <c r="R51" s="904">
        <f t="shared" si="13"/>
        <v>519527251</v>
      </c>
      <c r="S51" s="904">
        <f t="shared" si="13"/>
        <v>522271805</v>
      </c>
      <c r="T51" s="904">
        <f t="shared" si="13"/>
        <v>0</v>
      </c>
      <c r="U51" s="907">
        <f>U12+U13+U14+U15+U16+U19+U20+U21+U25+U37+U38+U39+U40+U41+U43+U46</f>
        <v>1782943</v>
      </c>
    </row>
    <row r="52" spans="2:21" ht="15" customHeight="1" thickBot="1">
      <c r="B52" s="265"/>
      <c r="C52" s="267"/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0"/>
      <c r="T52" s="902"/>
      <c r="U52" s="903"/>
    </row>
    <row r="53" spans="2:21" ht="15" customHeight="1" thickBot="1">
      <c r="B53" s="1243" t="s">
        <v>403</v>
      </c>
      <c r="C53" s="1275"/>
      <c r="D53" s="904">
        <f>D45+D33+D32+D30+D29+D28+D24</f>
        <v>583729483</v>
      </c>
      <c r="E53" s="904">
        <f>E45+E33+E32+E30+E29+E28+E24+E31</f>
        <v>602142322</v>
      </c>
      <c r="F53" s="904">
        <f aca="true" t="shared" si="14" ref="F53:U53">F45+F33+F32+F30+F29+F28+F24+F31</f>
        <v>0</v>
      </c>
      <c r="G53" s="904">
        <f t="shared" si="14"/>
        <v>0</v>
      </c>
      <c r="H53" s="904">
        <f t="shared" si="14"/>
        <v>218841646</v>
      </c>
      <c r="I53" s="904">
        <f t="shared" si="14"/>
        <v>203420291</v>
      </c>
      <c r="J53" s="904">
        <f t="shared" si="14"/>
        <v>40229130</v>
      </c>
      <c r="K53" s="904">
        <f t="shared" si="14"/>
        <v>0</v>
      </c>
      <c r="L53" s="904">
        <f t="shared" si="14"/>
        <v>0</v>
      </c>
      <c r="M53" s="904">
        <f t="shared" si="14"/>
        <v>0</v>
      </c>
      <c r="N53" s="904">
        <f t="shared" si="14"/>
        <v>0</v>
      </c>
      <c r="O53" s="904">
        <f t="shared" si="14"/>
        <v>0</v>
      </c>
      <c r="P53" s="904">
        <f t="shared" si="14"/>
        <v>0</v>
      </c>
      <c r="Q53" s="904">
        <f t="shared" si="14"/>
        <v>0</v>
      </c>
      <c r="R53" s="904">
        <f t="shared" si="14"/>
        <v>325943947</v>
      </c>
      <c r="S53" s="904">
        <f t="shared" si="14"/>
        <v>398088254</v>
      </c>
      <c r="T53" s="904">
        <f t="shared" si="14"/>
        <v>0</v>
      </c>
      <c r="U53" s="904">
        <f t="shared" si="14"/>
        <v>633777</v>
      </c>
    </row>
    <row r="54" spans="2:21" ht="15" customHeight="1" thickBot="1">
      <c r="B54" s="265"/>
      <c r="C54" s="267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2"/>
      <c r="U54" s="903"/>
    </row>
    <row r="55" spans="2:21" ht="15" customHeight="1" thickBot="1">
      <c r="B55" s="1243" t="s">
        <v>462</v>
      </c>
      <c r="C55" s="1275"/>
      <c r="D55" s="904">
        <v>0</v>
      </c>
      <c r="E55" s="904">
        <v>0</v>
      </c>
      <c r="F55" s="904">
        <v>0</v>
      </c>
      <c r="G55" s="904">
        <v>0</v>
      </c>
      <c r="H55" s="904">
        <v>0</v>
      </c>
      <c r="I55" s="904">
        <v>0</v>
      </c>
      <c r="J55" s="904">
        <v>0</v>
      </c>
      <c r="K55" s="904">
        <v>0</v>
      </c>
      <c r="L55" s="904">
        <v>0</v>
      </c>
      <c r="M55" s="904">
        <v>0</v>
      </c>
      <c r="N55" s="904">
        <v>0</v>
      </c>
      <c r="O55" s="904">
        <v>0</v>
      </c>
      <c r="P55" s="904">
        <v>0</v>
      </c>
      <c r="Q55" s="904">
        <v>0</v>
      </c>
      <c r="R55" s="904">
        <v>0</v>
      </c>
      <c r="S55" s="904">
        <v>0</v>
      </c>
      <c r="T55" s="906">
        <f>T33+T35+T36+T45+T47</f>
        <v>0</v>
      </c>
      <c r="U55" s="907">
        <f>U33+U35+U36+U45+U47</f>
        <v>1943671</v>
      </c>
    </row>
    <row r="56" spans="2:21" ht="15" customHeight="1">
      <c r="B56" s="95"/>
      <c r="C56" s="95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192"/>
      <c r="O56" s="192"/>
      <c r="P56" s="192"/>
      <c r="Q56" s="192"/>
      <c r="R56" s="192"/>
      <c r="S56" s="192"/>
      <c r="T56" s="192"/>
      <c r="U56" s="192"/>
    </row>
    <row r="57" spans="4:21" ht="12.75">
      <c r="D57" s="832">
        <f>D51+D53</f>
        <v>1153840345</v>
      </c>
      <c r="E57" s="832">
        <f>E51+E53</f>
        <v>1170007607</v>
      </c>
      <c r="F57" s="832">
        <f>F51+F53</f>
        <v>3516119</v>
      </c>
      <c r="G57" s="832">
        <f aca="true" t="shared" si="15" ref="G57:U57">G51+G53</f>
        <v>0</v>
      </c>
      <c r="H57" s="832">
        <f>H51+H53</f>
        <v>264623898</v>
      </c>
      <c r="I57" s="832">
        <f t="shared" si="15"/>
        <v>247230828</v>
      </c>
      <c r="J57" s="832">
        <f>J51+J53</f>
        <v>40229130</v>
      </c>
      <c r="K57" s="832">
        <f t="shared" si="15"/>
        <v>0</v>
      </c>
      <c r="L57" s="832">
        <f>L51+L53</f>
        <v>0</v>
      </c>
      <c r="M57" s="832">
        <f t="shared" si="15"/>
        <v>0</v>
      </c>
      <c r="N57" s="832">
        <f>N51+N53</f>
        <v>0</v>
      </c>
      <c r="O57" s="832">
        <f t="shared" si="15"/>
        <v>0</v>
      </c>
      <c r="P57" s="832">
        <f>P51+P53</f>
        <v>0</v>
      </c>
      <c r="Q57" s="832">
        <f t="shared" si="15"/>
        <v>0</v>
      </c>
      <c r="R57" s="832">
        <f>R51+R53</f>
        <v>845471198</v>
      </c>
      <c r="S57" s="832">
        <f t="shared" si="15"/>
        <v>920360059</v>
      </c>
      <c r="T57" s="832">
        <f>T51+T53</f>
        <v>0</v>
      </c>
      <c r="U57" s="832">
        <f t="shared" si="15"/>
        <v>2416720</v>
      </c>
    </row>
    <row r="58" spans="4:21" ht="12.75"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</row>
    <row r="59" spans="4:21" ht="12.75"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</row>
    <row r="60" spans="4:21" ht="12.75"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</row>
    <row r="61" spans="4:21" ht="12.75"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spans="4:21" ht="12.75"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</row>
    <row r="63" spans="4:21" ht="12.75"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</row>
    <row r="64" spans="4:21" ht="12.75"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</row>
    <row r="65" spans="4:21" ht="12.75"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</row>
    <row r="66" spans="4:21" ht="12.75"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</row>
  </sheetData>
  <sheetProtection/>
  <mergeCells count="19">
    <mergeCell ref="L8:M9"/>
    <mergeCell ref="N8:O9"/>
    <mergeCell ref="P8:Q9"/>
    <mergeCell ref="D7:E9"/>
    <mergeCell ref="B7:C10"/>
    <mergeCell ref="F8:G9"/>
    <mergeCell ref="H8:I9"/>
    <mergeCell ref="J8:K9"/>
    <mergeCell ref="F7:K7"/>
    <mergeCell ref="B4:U4"/>
    <mergeCell ref="B11:C11"/>
    <mergeCell ref="R7:U7"/>
    <mergeCell ref="R8:S9"/>
    <mergeCell ref="T8:U9"/>
    <mergeCell ref="B55:C55"/>
    <mergeCell ref="B49:C49"/>
    <mergeCell ref="B51:C51"/>
    <mergeCell ref="B53:C53"/>
    <mergeCell ref="L7:Q7"/>
  </mergeCells>
  <printOptions/>
  <pageMargins left="0.15748031496062992" right="0.15748031496062992" top="0.35433070866141736" bottom="0.2362204724409449" header="0.31496062992125984" footer="0.31496062992125984"/>
  <pageSetup horizontalDpi="600" verticalDpi="600" orientation="landscape" paperSize="8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2"/>
  <sheetViews>
    <sheetView zoomScalePageLayoutView="0" workbookViewId="0" topLeftCell="A24">
      <selection activeCell="T16" sqref="T16"/>
    </sheetView>
  </sheetViews>
  <sheetFormatPr defaultColWidth="9.00390625" defaultRowHeight="12.75"/>
  <cols>
    <col min="1" max="1" width="7.625" style="95" customWidth="1"/>
    <col min="2" max="2" width="32.375" style="95" customWidth="1"/>
    <col min="3" max="3" width="10.75390625" style="95" customWidth="1"/>
    <col min="4" max="4" width="11.125" style="95" customWidth="1"/>
    <col min="5" max="18" width="9.375" style="95" customWidth="1"/>
    <col min="19" max="28" width="9.375" style="0" customWidth="1"/>
    <col min="29" max="38" width="10.75390625" style="0" customWidth="1"/>
  </cols>
  <sheetData>
    <row r="1" spans="1:2" ht="12.75">
      <c r="A1" s="137" t="s">
        <v>459</v>
      </c>
      <c r="B1" s="95" t="str">
        <f>'bev-int'!B1</f>
        <v>melléklet a …/2024. (III.  .) önkormányzati rendelethez</v>
      </c>
    </row>
    <row r="2" spans="1:18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28" ht="12.75" customHeight="1">
      <c r="A3" s="1216" t="s">
        <v>717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</row>
    <row r="4" spans="1:18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28" ht="13.5" thickBot="1">
      <c r="A5" s="97"/>
      <c r="B5" s="97"/>
      <c r="C5" s="97"/>
      <c r="D5" s="97"/>
      <c r="E5" s="97"/>
      <c r="F5" s="500"/>
      <c r="G5" s="97"/>
      <c r="H5" s="500"/>
      <c r="I5" s="97"/>
      <c r="J5" s="97"/>
      <c r="K5" s="97"/>
      <c r="L5" s="97"/>
      <c r="M5" s="97"/>
      <c r="N5" s="97"/>
      <c r="O5" s="97"/>
      <c r="P5" s="97"/>
      <c r="Q5" s="97"/>
      <c r="R5" s="97"/>
      <c r="AA5" s="130" t="s">
        <v>322</v>
      </c>
      <c r="AB5" s="130"/>
    </row>
    <row r="6" spans="1:28" s="75" customFormat="1" ht="16.5" customHeight="1">
      <c r="A6" s="1217" t="s">
        <v>55</v>
      </c>
      <c r="B6" s="1253"/>
      <c r="C6" s="1217" t="s">
        <v>245</v>
      </c>
      <c r="D6" s="1218"/>
      <c r="E6" s="1225" t="s">
        <v>246</v>
      </c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8"/>
      <c r="Q6" s="1225" t="s">
        <v>129</v>
      </c>
      <c r="R6" s="1226"/>
      <c r="S6" s="1226"/>
      <c r="T6" s="1226"/>
      <c r="U6" s="1226"/>
      <c r="V6" s="1226"/>
      <c r="W6" s="1226"/>
      <c r="X6" s="1228"/>
      <c r="Y6" s="1225" t="s">
        <v>77</v>
      </c>
      <c r="Z6" s="1226"/>
      <c r="AA6" s="1226"/>
      <c r="AB6" s="1227"/>
    </row>
    <row r="7" spans="1:28" s="75" customFormat="1" ht="21.75" customHeight="1">
      <c r="A7" s="1219"/>
      <c r="B7" s="1254"/>
      <c r="C7" s="1219"/>
      <c r="D7" s="1220"/>
      <c r="E7" s="1208" t="s">
        <v>63</v>
      </c>
      <c r="F7" s="1209"/>
      <c r="G7" s="1208" t="s">
        <v>247</v>
      </c>
      <c r="H7" s="1209"/>
      <c r="I7" s="1208" t="s">
        <v>248</v>
      </c>
      <c r="J7" s="1209"/>
      <c r="K7" s="1208" t="s">
        <v>137</v>
      </c>
      <c r="L7" s="1209"/>
      <c r="M7" s="1208" t="s">
        <v>249</v>
      </c>
      <c r="N7" s="1209"/>
      <c r="O7" s="1208" t="s">
        <v>251</v>
      </c>
      <c r="P7" s="1209"/>
      <c r="Q7" s="1265" t="s">
        <v>252</v>
      </c>
      <c r="R7" s="1262"/>
      <c r="S7" s="1265" t="s">
        <v>253</v>
      </c>
      <c r="T7" s="1262"/>
      <c r="U7" s="1208" t="s">
        <v>35</v>
      </c>
      <c r="V7" s="1209"/>
      <c r="W7" s="1212" t="s">
        <v>254</v>
      </c>
      <c r="X7" s="1213"/>
      <c r="Y7" s="1212" t="s">
        <v>278</v>
      </c>
      <c r="Z7" s="1213"/>
      <c r="AA7" s="1208" t="s">
        <v>255</v>
      </c>
      <c r="AB7" s="1223"/>
    </row>
    <row r="8" spans="1:28" s="75" customFormat="1" ht="33.75" customHeight="1" thickBot="1">
      <c r="A8" s="1219"/>
      <c r="B8" s="1254"/>
      <c r="C8" s="1277"/>
      <c r="D8" s="1232"/>
      <c r="E8" s="1210"/>
      <c r="F8" s="1211"/>
      <c r="G8" s="1210"/>
      <c r="H8" s="1211"/>
      <c r="I8" s="1210"/>
      <c r="J8" s="1211"/>
      <c r="K8" s="1210"/>
      <c r="L8" s="1211"/>
      <c r="M8" s="1210"/>
      <c r="N8" s="1211"/>
      <c r="O8" s="1210"/>
      <c r="P8" s="1211"/>
      <c r="Q8" s="1231"/>
      <c r="R8" s="1232"/>
      <c r="S8" s="1231"/>
      <c r="T8" s="1232"/>
      <c r="U8" s="1210"/>
      <c r="V8" s="1211"/>
      <c r="W8" s="1214"/>
      <c r="X8" s="1215"/>
      <c r="Y8" s="1214"/>
      <c r="Z8" s="1215"/>
      <c r="AA8" s="1210"/>
      <c r="AB8" s="1224"/>
    </row>
    <row r="9" spans="1:28" s="130" customFormat="1" ht="18.75" customHeight="1" hidden="1" thickBot="1">
      <c r="A9" s="1221"/>
      <c r="B9" s="1276"/>
      <c r="C9" s="286" t="s">
        <v>465</v>
      </c>
      <c r="D9" s="281" t="s">
        <v>466</v>
      </c>
      <c r="E9" s="284" t="s">
        <v>465</v>
      </c>
      <c r="F9" s="280" t="s">
        <v>466</v>
      </c>
      <c r="G9" s="279" t="s">
        <v>465</v>
      </c>
      <c r="H9" s="280" t="s">
        <v>466</v>
      </c>
      <c r="I9" s="279" t="s">
        <v>465</v>
      </c>
      <c r="J9" s="280" t="s">
        <v>466</v>
      </c>
      <c r="K9" s="279" t="s">
        <v>465</v>
      </c>
      <c r="L9" s="280" t="s">
        <v>466</v>
      </c>
      <c r="M9" s="279" t="s">
        <v>465</v>
      </c>
      <c r="N9" s="280" t="s">
        <v>466</v>
      </c>
      <c r="O9" s="279" t="s">
        <v>465</v>
      </c>
      <c r="P9" s="281" t="s">
        <v>466</v>
      </c>
      <c r="Q9" s="286" t="s">
        <v>465</v>
      </c>
      <c r="R9" s="280" t="s">
        <v>466</v>
      </c>
      <c r="S9" s="279" t="s">
        <v>465</v>
      </c>
      <c r="T9" s="280" t="s">
        <v>466</v>
      </c>
      <c r="U9" s="279" t="s">
        <v>465</v>
      </c>
      <c r="V9" s="280" t="s">
        <v>466</v>
      </c>
      <c r="W9" s="279" t="s">
        <v>465</v>
      </c>
      <c r="X9" s="283" t="s">
        <v>466</v>
      </c>
      <c r="Y9" s="285" t="s">
        <v>465</v>
      </c>
      <c r="Z9" s="272" t="s">
        <v>466</v>
      </c>
      <c r="AA9" s="282" t="s">
        <v>465</v>
      </c>
      <c r="AB9" s="273" t="s">
        <v>466</v>
      </c>
    </row>
    <row r="10" spans="1:30" s="75" customFormat="1" ht="9.75" customHeight="1">
      <c r="A10" s="1200"/>
      <c r="B10" s="1201"/>
      <c r="C10" s="820"/>
      <c r="D10" s="820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22"/>
      <c r="AB10" s="823"/>
      <c r="AC10" s="171"/>
      <c r="AD10" s="171"/>
    </row>
    <row r="11" spans="1:30" s="75" customFormat="1" ht="18" customHeight="1">
      <c r="A11" s="98" t="s">
        <v>257</v>
      </c>
      <c r="B11" s="88" t="s">
        <v>302</v>
      </c>
      <c r="C11" s="808">
        <f>E11+G11+I11+K11+M11+O11+Q11+S11+U11+W11+Y11+AA11</f>
        <v>151858732</v>
      </c>
      <c r="D11" s="808">
        <f>F11+H11+J11+L11+N11+P11+R11+T11+V11+X11+Z11+AB11</f>
        <v>150403318</v>
      </c>
      <c r="E11" s="810">
        <v>132043410</v>
      </c>
      <c r="F11" s="810">
        <f>131907885-1484106</f>
        <v>130423779</v>
      </c>
      <c r="G11" s="810">
        <v>17515262</v>
      </c>
      <c r="H11" s="810">
        <f>17515262+276246</f>
        <v>17791508</v>
      </c>
      <c r="I11" s="810">
        <v>2300060</v>
      </c>
      <c r="J11" s="810">
        <f>2300060-112029</f>
        <v>2188031</v>
      </c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810"/>
      <c r="Y11" s="810"/>
      <c r="Z11" s="810"/>
      <c r="AA11" s="811"/>
      <c r="AB11" s="812"/>
      <c r="AC11" s="171"/>
      <c r="AD11" s="171"/>
    </row>
    <row r="12" spans="1:30" s="75" customFormat="1" ht="18" customHeight="1">
      <c r="A12" s="98" t="s">
        <v>257</v>
      </c>
      <c r="B12" s="501" t="s">
        <v>303</v>
      </c>
      <c r="C12" s="808">
        <f aca="true" t="shared" si="0" ref="C12:C17">E12+G12+I12+K12+M12+O12+Q12+S12+U12+W12+Y12+AA12</f>
        <v>714880</v>
      </c>
      <c r="D12" s="808">
        <f aca="true" t="shared" si="1" ref="D12:D17">F12+H12+J12+L12+N12+P12+R12+T12+V12+X12+Z12+AB12</f>
        <v>810368</v>
      </c>
      <c r="E12" s="810">
        <v>640000</v>
      </c>
      <c r="F12" s="810">
        <f>768000-40000</f>
        <v>728000</v>
      </c>
      <c r="G12" s="810">
        <v>74880</v>
      </c>
      <c r="H12" s="810">
        <f>74880+7488</f>
        <v>82368</v>
      </c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1"/>
      <c r="AB12" s="812"/>
      <c r="AC12" s="171"/>
      <c r="AD12" s="171"/>
    </row>
    <row r="13" spans="1:30" s="75" customFormat="1" ht="18" customHeight="1">
      <c r="A13" s="98" t="s">
        <v>257</v>
      </c>
      <c r="B13" s="501" t="s">
        <v>475</v>
      </c>
      <c r="C13" s="808">
        <f t="shared" si="0"/>
        <v>24677132</v>
      </c>
      <c r="D13" s="808">
        <f t="shared" si="1"/>
        <v>25221949</v>
      </c>
      <c r="E13" s="810">
        <v>2827300</v>
      </c>
      <c r="F13" s="810">
        <f>2834825+179373</f>
        <v>3014198</v>
      </c>
      <c r="G13" s="810">
        <v>2072499</v>
      </c>
      <c r="H13" s="810">
        <f>2072499+17339</f>
        <v>2089838</v>
      </c>
      <c r="I13" s="810">
        <v>19142333</v>
      </c>
      <c r="J13" s="810">
        <f>19704190-161916</f>
        <v>19542274</v>
      </c>
      <c r="K13" s="810"/>
      <c r="L13" s="810"/>
      <c r="M13" s="810"/>
      <c r="N13" s="810"/>
      <c r="O13" s="810"/>
      <c r="P13" s="810"/>
      <c r="Q13" s="810"/>
      <c r="R13" s="810"/>
      <c r="S13" s="810">
        <v>635000</v>
      </c>
      <c r="T13" s="810">
        <f>635000-59361</f>
        <v>575639</v>
      </c>
      <c r="U13" s="810"/>
      <c r="V13" s="810"/>
      <c r="W13" s="810"/>
      <c r="X13" s="810"/>
      <c r="Y13" s="810"/>
      <c r="Z13" s="810"/>
      <c r="AA13" s="811"/>
      <c r="AB13" s="812"/>
      <c r="AC13" s="171"/>
      <c r="AD13" s="171"/>
    </row>
    <row r="14" spans="1:30" s="75" customFormat="1" ht="18" customHeight="1">
      <c r="A14" s="98" t="s">
        <v>257</v>
      </c>
      <c r="B14" s="109" t="s">
        <v>300</v>
      </c>
      <c r="C14" s="808">
        <f t="shared" si="0"/>
        <v>11048430</v>
      </c>
      <c r="D14" s="808">
        <f t="shared" si="1"/>
        <v>11869223</v>
      </c>
      <c r="E14" s="810">
        <v>7968880</v>
      </c>
      <c r="F14" s="810">
        <f>7968880+438915</f>
        <v>8407795</v>
      </c>
      <c r="G14" s="810">
        <v>1087430</v>
      </c>
      <c r="H14" s="810">
        <f>1087430+50862</f>
        <v>1138292</v>
      </c>
      <c r="I14" s="810">
        <v>1992120</v>
      </c>
      <c r="J14" s="810">
        <f>1992120+331016</f>
        <v>2323136</v>
      </c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1"/>
      <c r="AB14" s="812"/>
      <c r="AC14" s="171"/>
      <c r="AD14" s="171"/>
    </row>
    <row r="15" spans="1:30" s="75" customFormat="1" ht="18" customHeight="1">
      <c r="A15" s="575" t="s">
        <v>257</v>
      </c>
      <c r="B15" s="109" t="s">
        <v>586</v>
      </c>
      <c r="C15" s="808">
        <f t="shared" si="0"/>
        <v>43734867</v>
      </c>
      <c r="D15" s="808">
        <f t="shared" si="1"/>
        <v>45942499</v>
      </c>
      <c r="E15" s="810">
        <v>32250936</v>
      </c>
      <c r="F15" s="810">
        <f>32250936+1919681</f>
        <v>34170617</v>
      </c>
      <c r="G15" s="810">
        <v>4528931</v>
      </c>
      <c r="H15" s="810">
        <f>4528931+261590</f>
        <v>4790521</v>
      </c>
      <c r="I15" s="810">
        <v>6955000</v>
      </c>
      <c r="J15" s="810">
        <f>6955000-33000</f>
        <v>6922000</v>
      </c>
      <c r="K15" s="810"/>
      <c r="L15" s="810"/>
      <c r="M15" s="810"/>
      <c r="N15" s="810"/>
      <c r="O15" s="810"/>
      <c r="P15" s="810"/>
      <c r="Q15" s="810"/>
      <c r="R15" s="810"/>
      <c r="S15" s="810"/>
      <c r="T15" s="810">
        <v>59361</v>
      </c>
      <c r="U15" s="810"/>
      <c r="V15" s="810"/>
      <c r="W15" s="810"/>
      <c r="X15" s="810"/>
      <c r="Y15" s="810"/>
      <c r="Z15" s="810"/>
      <c r="AA15" s="811"/>
      <c r="AB15" s="812"/>
      <c r="AC15" s="171"/>
      <c r="AD15" s="171"/>
    </row>
    <row r="16" spans="1:30" s="75" customFormat="1" ht="18" customHeight="1">
      <c r="A16" s="98" t="s">
        <v>257</v>
      </c>
      <c r="B16" s="574" t="s">
        <v>587</v>
      </c>
      <c r="C16" s="808">
        <f t="shared" si="0"/>
        <v>177800</v>
      </c>
      <c r="D16" s="808">
        <f t="shared" si="1"/>
        <v>209782</v>
      </c>
      <c r="E16" s="810"/>
      <c r="F16" s="810"/>
      <c r="G16" s="810"/>
      <c r="H16" s="810"/>
      <c r="I16" s="810">
        <v>177800</v>
      </c>
      <c r="J16" s="810">
        <f>177800+31982</f>
        <v>209782</v>
      </c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1"/>
      <c r="AB16" s="812"/>
      <c r="AC16" s="171"/>
      <c r="AD16" s="171"/>
    </row>
    <row r="17" spans="1:30" s="75" customFormat="1" ht="18" customHeight="1">
      <c r="A17" s="110" t="s">
        <v>257</v>
      </c>
      <c r="B17" s="88" t="s">
        <v>261</v>
      </c>
      <c r="C17" s="808">
        <f t="shared" si="0"/>
        <v>0</v>
      </c>
      <c r="D17" s="808">
        <f t="shared" si="1"/>
        <v>0</v>
      </c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1"/>
      <c r="AB17" s="812"/>
      <c r="AC17" s="171"/>
      <c r="AD17" s="171"/>
    </row>
    <row r="18" spans="1:30" s="75" customFormat="1" ht="18" customHeight="1">
      <c r="A18" s="98"/>
      <c r="B18" s="100" t="s">
        <v>281</v>
      </c>
      <c r="C18" s="808">
        <f aca="true" t="shared" si="2" ref="C18:K18">SUM(C11:C17)</f>
        <v>232211841</v>
      </c>
      <c r="D18" s="808">
        <f t="shared" si="2"/>
        <v>234457139</v>
      </c>
      <c r="E18" s="808">
        <f t="shared" si="2"/>
        <v>175730526</v>
      </c>
      <c r="F18" s="808">
        <f t="shared" si="2"/>
        <v>176744389</v>
      </c>
      <c r="G18" s="808">
        <f t="shared" si="2"/>
        <v>25279002</v>
      </c>
      <c r="H18" s="808">
        <f t="shared" si="2"/>
        <v>25892527</v>
      </c>
      <c r="I18" s="808">
        <f t="shared" si="2"/>
        <v>30567313</v>
      </c>
      <c r="J18" s="808">
        <f t="shared" si="2"/>
        <v>31185223</v>
      </c>
      <c r="K18" s="808">
        <f t="shared" si="2"/>
        <v>0</v>
      </c>
      <c r="L18" s="808">
        <f aca="true" t="shared" si="3" ref="L18:AB18">SUM(L11:L17)</f>
        <v>0</v>
      </c>
      <c r="M18" s="808">
        <f>SUM(M11:M17)</f>
        <v>0</v>
      </c>
      <c r="N18" s="808">
        <f t="shared" si="3"/>
        <v>0</v>
      </c>
      <c r="O18" s="808">
        <f>SUM(O11:O17)</f>
        <v>0</v>
      </c>
      <c r="P18" s="808">
        <f t="shared" si="3"/>
        <v>0</v>
      </c>
      <c r="Q18" s="808">
        <f>SUM(Q11:Q17)</f>
        <v>0</v>
      </c>
      <c r="R18" s="808">
        <f t="shared" si="3"/>
        <v>0</v>
      </c>
      <c r="S18" s="808">
        <f>SUM(S11:S17)</f>
        <v>635000</v>
      </c>
      <c r="T18" s="808">
        <f t="shared" si="3"/>
        <v>635000</v>
      </c>
      <c r="U18" s="808">
        <f>SUM(U11:U17)</f>
        <v>0</v>
      </c>
      <c r="V18" s="808">
        <f t="shared" si="3"/>
        <v>0</v>
      </c>
      <c r="W18" s="808">
        <f>SUM(W11:W17)</f>
        <v>0</v>
      </c>
      <c r="X18" s="808">
        <f t="shared" si="3"/>
        <v>0</v>
      </c>
      <c r="Y18" s="808">
        <f>SUM(Y11:Y17)</f>
        <v>0</v>
      </c>
      <c r="Z18" s="808">
        <f t="shared" si="3"/>
        <v>0</v>
      </c>
      <c r="AA18" s="851">
        <f>SUM(AA11:AA17)</f>
        <v>0</v>
      </c>
      <c r="AB18" s="852">
        <f t="shared" si="3"/>
        <v>0</v>
      </c>
      <c r="AC18" s="171"/>
      <c r="AD18" s="171"/>
    </row>
    <row r="19" spans="1:30" s="75" customFormat="1" ht="7.5" customHeight="1">
      <c r="A19" s="98"/>
      <c r="B19" s="88"/>
      <c r="C19" s="808"/>
      <c r="D19" s="808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1"/>
      <c r="AB19" s="812"/>
      <c r="AC19" s="171"/>
      <c r="AD19" s="171"/>
    </row>
    <row r="20" spans="1:30" s="75" customFormat="1" ht="18" customHeight="1">
      <c r="A20" s="110" t="s">
        <v>257</v>
      </c>
      <c r="B20" s="88" t="s">
        <v>261</v>
      </c>
      <c r="C20" s="808">
        <f aca="true" t="shared" si="4" ref="C20:D25">E20+G20+I20+K20+M20+O20+Q20+S20+U20+W20+Y20+AA20</f>
        <v>0</v>
      </c>
      <c r="D20" s="808">
        <f t="shared" si="4"/>
        <v>40845</v>
      </c>
      <c r="E20" s="810"/>
      <c r="F20" s="810"/>
      <c r="G20" s="810"/>
      <c r="H20" s="810"/>
      <c r="I20" s="810"/>
      <c r="J20" s="810"/>
      <c r="K20" s="810"/>
      <c r="L20" s="810"/>
      <c r="M20" s="810"/>
      <c r="N20" s="850">
        <v>40845</v>
      </c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1"/>
      <c r="AB20" s="812"/>
      <c r="AC20" s="171"/>
      <c r="AD20" s="171"/>
    </row>
    <row r="21" spans="1:30" s="75" customFormat="1" ht="18" customHeight="1">
      <c r="A21" s="98" t="s">
        <v>257</v>
      </c>
      <c r="B21" s="88" t="s">
        <v>548</v>
      </c>
      <c r="C21" s="808">
        <f t="shared" si="4"/>
        <v>11779827</v>
      </c>
      <c r="D21" s="808">
        <f t="shared" si="4"/>
        <v>8003142</v>
      </c>
      <c r="E21" s="810">
        <v>8224425</v>
      </c>
      <c r="F21" s="810">
        <f>8224425-3620303</f>
        <v>4604122</v>
      </c>
      <c r="G21" s="810">
        <v>1412922</v>
      </c>
      <c r="H21" s="810">
        <v>1412922</v>
      </c>
      <c r="I21" s="810">
        <v>1982480</v>
      </c>
      <c r="J21" s="810">
        <f>1982480+1200</f>
        <v>1983680</v>
      </c>
      <c r="K21" s="850"/>
      <c r="L21" s="850"/>
      <c r="M21" s="850"/>
      <c r="N21" s="850"/>
      <c r="O21" s="850"/>
      <c r="P21" s="850"/>
      <c r="Q21" s="850"/>
      <c r="R21" s="850"/>
      <c r="S21" s="850">
        <v>160000</v>
      </c>
      <c r="T21" s="850">
        <f>160000-157582</f>
        <v>2418</v>
      </c>
      <c r="U21" s="850"/>
      <c r="V21" s="850"/>
      <c r="W21" s="850"/>
      <c r="X21" s="850"/>
      <c r="Y21" s="850"/>
      <c r="Z21" s="850"/>
      <c r="AA21" s="811"/>
      <c r="AB21" s="812"/>
      <c r="AC21" s="171"/>
      <c r="AD21" s="171"/>
    </row>
    <row r="22" spans="1:30" s="75" customFormat="1" ht="18" customHeight="1">
      <c r="A22" s="98" t="s">
        <v>257</v>
      </c>
      <c r="B22" s="88" t="s">
        <v>284</v>
      </c>
      <c r="C22" s="808">
        <f t="shared" si="4"/>
        <v>82153349</v>
      </c>
      <c r="D22" s="808">
        <f t="shared" si="4"/>
        <v>88926540</v>
      </c>
      <c r="E22" s="810">
        <v>20640190</v>
      </c>
      <c r="F22" s="810">
        <f>20745753+5981704</f>
        <v>26727457</v>
      </c>
      <c r="G22" s="810">
        <v>3661467</v>
      </c>
      <c r="H22" s="810">
        <v>3661467</v>
      </c>
      <c r="I22" s="810">
        <v>57683847</v>
      </c>
      <c r="J22" s="810">
        <f>56863071-330219</f>
        <v>56532852</v>
      </c>
      <c r="K22" s="850"/>
      <c r="L22" s="850"/>
      <c r="M22" s="850">
        <v>40845</v>
      </c>
      <c r="N22" s="850"/>
      <c r="O22" s="850"/>
      <c r="P22" s="850"/>
      <c r="Q22" s="850"/>
      <c r="R22" s="850"/>
      <c r="S22" s="850">
        <v>127000</v>
      </c>
      <c r="T22" s="850">
        <f>1677182+327582</f>
        <v>2004764</v>
      </c>
      <c r="U22" s="850"/>
      <c r="V22" s="850"/>
      <c r="W22" s="850"/>
      <c r="X22" s="850"/>
      <c r="Y22" s="850"/>
      <c r="Z22" s="850"/>
      <c r="AA22" s="811"/>
      <c r="AB22" s="812"/>
      <c r="AC22" s="171"/>
      <c r="AD22" s="171"/>
    </row>
    <row r="23" spans="1:30" s="75" customFormat="1" ht="18" customHeight="1">
      <c r="A23" s="518" t="s">
        <v>678</v>
      </c>
      <c r="B23" s="88" t="s">
        <v>889</v>
      </c>
      <c r="C23" s="808">
        <f t="shared" si="4"/>
        <v>0</v>
      </c>
      <c r="D23" s="808">
        <f t="shared" si="4"/>
        <v>225882</v>
      </c>
      <c r="E23" s="810"/>
      <c r="F23" s="810"/>
      <c r="G23" s="810"/>
      <c r="H23" s="810"/>
      <c r="I23" s="810"/>
      <c r="J23" s="810">
        <v>225882</v>
      </c>
      <c r="K23" s="850"/>
      <c r="L23" s="850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11"/>
      <c r="AB23" s="812"/>
      <c r="AC23" s="171"/>
      <c r="AD23" s="171"/>
    </row>
    <row r="24" spans="1:30" s="75" customFormat="1" ht="18" customHeight="1">
      <c r="A24" s="517" t="s">
        <v>257</v>
      </c>
      <c r="B24" s="88" t="s">
        <v>534</v>
      </c>
      <c r="C24" s="808">
        <f t="shared" si="4"/>
        <v>5979071</v>
      </c>
      <c r="D24" s="808">
        <f t="shared" si="4"/>
        <v>3716689</v>
      </c>
      <c r="E24" s="810">
        <v>5004234</v>
      </c>
      <c r="F24" s="810">
        <f>5004234-2262382</f>
        <v>2741852</v>
      </c>
      <c r="G24" s="810">
        <v>887117</v>
      </c>
      <c r="H24" s="810">
        <v>887117</v>
      </c>
      <c r="I24" s="810">
        <v>87720</v>
      </c>
      <c r="J24" s="810">
        <v>87720</v>
      </c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11"/>
      <c r="AB24" s="812"/>
      <c r="AC24" s="171"/>
      <c r="AD24" s="171"/>
    </row>
    <row r="25" spans="1:30" s="75" customFormat="1" ht="18" customHeight="1">
      <c r="A25" s="110" t="s">
        <v>257</v>
      </c>
      <c r="B25" s="88" t="s">
        <v>524</v>
      </c>
      <c r="C25" s="808">
        <f t="shared" si="4"/>
        <v>566500</v>
      </c>
      <c r="D25" s="808">
        <f t="shared" si="4"/>
        <v>400618</v>
      </c>
      <c r="E25" s="850"/>
      <c r="F25" s="850"/>
      <c r="G25" s="850"/>
      <c r="H25" s="850"/>
      <c r="I25" s="850">
        <v>566500</v>
      </c>
      <c r="J25" s="850">
        <f>566500-165882</f>
        <v>400618</v>
      </c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11"/>
      <c r="AB25" s="812"/>
      <c r="AC25" s="171"/>
      <c r="AD25" s="171"/>
    </row>
    <row r="26" spans="1:30" s="101" customFormat="1" ht="18" customHeight="1">
      <c r="A26" s="112"/>
      <c r="B26" s="100" t="s">
        <v>306</v>
      </c>
      <c r="C26" s="808">
        <f aca="true" t="shared" si="5" ref="C26:K26">SUM(C20:C25)</f>
        <v>100478747</v>
      </c>
      <c r="D26" s="808">
        <f t="shared" si="5"/>
        <v>101313716</v>
      </c>
      <c r="E26" s="808">
        <f t="shared" si="5"/>
        <v>33868849</v>
      </c>
      <c r="F26" s="808">
        <f t="shared" si="5"/>
        <v>34073431</v>
      </c>
      <c r="G26" s="808">
        <f t="shared" si="5"/>
        <v>5961506</v>
      </c>
      <c r="H26" s="808">
        <f t="shared" si="5"/>
        <v>5961506</v>
      </c>
      <c r="I26" s="808">
        <f t="shared" si="5"/>
        <v>60320547</v>
      </c>
      <c r="J26" s="808">
        <f t="shared" si="5"/>
        <v>59230752</v>
      </c>
      <c r="K26" s="808">
        <f t="shared" si="5"/>
        <v>0</v>
      </c>
      <c r="L26" s="808">
        <f aca="true" t="shared" si="6" ref="L26:AB26">SUM(L20:L25)</f>
        <v>0</v>
      </c>
      <c r="M26" s="808">
        <f>SUM(M20:M25)</f>
        <v>40845</v>
      </c>
      <c r="N26" s="808">
        <f t="shared" si="6"/>
        <v>40845</v>
      </c>
      <c r="O26" s="808">
        <f>SUM(O20:O25)</f>
        <v>0</v>
      </c>
      <c r="P26" s="808">
        <f t="shared" si="6"/>
        <v>0</v>
      </c>
      <c r="Q26" s="808">
        <f>SUM(Q20:Q25)</f>
        <v>0</v>
      </c>
      <c r="R26" s="808">
        <f t="shared" si="6"/>
        <v>0</v>
      </c>
      <c r="S26" s="808">
        <f>SUM(S20:S25)</f>
        <v>287000</v>
      </c>
      <c r="T26" s="808">
        <f t="shared" si="6"/>
        <v>2007182</v>
      </c>
      <c r="U26" s="808">
        <f>SUM(U20:U25)</f>
        <v>0</v>
      </c>
      <c r="V26" s="808">
        <f t="shared" si="6"/>
        <v>0</v>
      </c>
      <c r="W26" s="808">
        <f>SUM(W20:W25)</f>
        <v>0</v>
      </c>
      <c r="X26" s="808">
        <f t="shared" si="6"/>
        <v>0</v>
      </c>
      <c r="Y26" s="808">
        <f>SUM(Y20:Y25)</f>
        <v>0</v>
      </c>
      <c r="Z26" s="808">
        <f t="shared" si="6"/>
        <v>0</v>
      </c>
      <c r="AA26" s="851">
        <f>SUM(AA20:AA25)</f>
        <v>0</v>
      </c>
      <c r="AB26" s="852">
        <f t="shared" si="6"/>
        <v>0</v>
      </c>
      <c r="AC26" s="173"/>
      <c r="AD26" s="173"/>
    </row>
    <row r="27" spans="1:30" s="75" customFormat="1" ht="8.25" customHeight="1">
      <c r="A27" s="98"/>
      <c r="B27" s="88"/>
      <c r="C27" s="808"/>
      <c r="D27" s="808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1"/>
      <c r="AB27" s="812"/>
      <c r="AC27" s="171"/>
      <c r="AD27" s="171"/>
    </row>
    <row r="28" spans="1:30" s="75" customFormat="1" ht="17.25" customHeight="1">
      <c r="A28" s="98" t="s">
        <v>286</v>
      </c>
      <c r="B28" s="88" t="s">
        <v>517</v>
      </c>
      <c r="C28" s="808">
        <f aca="true" t="shared" si="7" ref="C28:D34">E28+G28+I28+K28+M28+O28+Q28+S28+U28+W28+Y28+AA28</f>
        <v>167076556</v>
      </c>
      <c r="D28" s="808">
        <f t="shared" si="7"/>
        <v>170607232</v>
      </c>
      <c r="E28" s="810">
        <f>58358620+7220200</f>
        <v>65578820</v>
      </c>
      <c r="F28" s="810">
        <f>58358620+7220200-1450383</f>
        <v>64128437</v>
      </c>
      <c r="G28" s="810">
        <f>14675464+953626</f>
        <v>15629090</v>
      </c>
      <c r="H28" s="810">
        <f>14675464+953626-1890883</f>
        <v>13738207</v>
      </c>
      <c r="I28" s="810">
        <f>75593089+114521</f>
        <v>75707610</v>
      </c>
      <c r="J28" s="810">
        <f>97605758-16398834</f>
        <v>81206924</v>
      </c>
      <c r="K28" s="810"/>
      <c r="L28" s="810"/>
      <c r="M28" s="810"/>
      <c r="N28" s="810"/>
      <c r="O28" s="810"/>
      <c r="P28" s="810"/>
      <c r="Q28" s="810"/>
      <c r="R28" s="810"/>
      <c r="S28" s="810">
        <v>10161036</v>
      </c>
      <c r="T28" s="810">
        <f>10161036+1372628</f>
        <v>11533664</v>
      </c>
      <c r="U28" s="810"/>
      <c r="V28" s="810"/>
      <c r="W28" s="810"/>
      <c r="X28" s="810"/>
      <c r="Y28" s="810"/>
      <c r="Z28" s="810"/>
      <c r="AA28" s="811"/>
      <c r="AB28" s="812"/>
      <c r="AC28" s="171"/>
      <c r="AD28" s="171"/>
    </row>
    <row r="29" spans="1:30" s="75" customFormat="1" ht="18" customHeight="1">
      <c r="A29" s="98" t="s">
        <v>286</v>
      </c>
      <c r="B29" s="88" t="s">
        <v>518</v>
      </c>
      <c r="C29" s="808">
        <f t="shared" si="7"/>
        <v>166100679</v>
      </c>
      <c r="D29" s="808">
        <f t="shared" si="7"/>
        <v>153519887</v>
      </c>
      <c r="E29" s="810">
        <v>143315600</v>
      </c>
      <c r="F29" s="810">
        <f>143315600-11522909</f>
        <v>131792691</v>
      </c>
      <c r="G29" s="810">
        <v>18556378</v>
      </c>
      <c r="H29" s="810">
        <f>18556378-1011173</f>
        <v>17545205</v>
      </c>
      <c r="I29" s="810">
        <v>3300451</v>
      </c>
      <c r="J29" s="810">
        <f>3300451-46710</f>
        <v>3253741</v>
      </c>
      <c r="K29" s="810">
        <v>270000</v>
      </c>
      <c r="L29" s="810">
        <v>270000</v>
      </c>
      <c r="M29" s="810"/>
      <c r="N29" s="810"/>
      <c r="O29" s="810"/>
      <c r="P29" s="810"/>
      <c r="Q29" s="810"/>
      <c r="R29" s="810"/>
      <c r="S29" s="810">
        <v>658250</v>
      </c>
      <c r="T29" s="810">
        <v>658250</v>
      </c>
      <c r="U29" s="810"/>
      <c r="V29" s="810"/>
      <c r="W29" s="810"/>
      <c r="X29" s="810"/>
      <c r="Y29" s="810"/>
      <c r="Z29" s="810"/>
      <c r="AA29" s="811"/>
      <c r="AB29" s="812"/>
      <c r="AC29" s="171"/>
      <c r="AD29" s="171"/>
    </row>
    <row r="30" spans="1:30" s="75" customFormat="1" ht="18" customHeight="1">
      <c r="A30" s="98" t="s">
        <v>286</v>
      </c>
      <c r="B30" s="88" t="s">
        <v>519</v>
      </c>
      <c r="C30" s="808">
        <f t="shared" si="7"/>
        <v>117716610</v>
      </c>
      <c r="D30" s="808">
        <f t="shared" si="7"/>
        <v>132246610</v>
      </c>
      <c r="E30" s="810">
        <v>33594767</v>
      </c>
      <c r="F30" s="810">
        <v>33594767</v>
      </c>
      <c r="G30" s="810">
        <v>4498680</v>
      </c>
      <c r="H30" s="810">
        <v>4498680</v>
      </c>
      <c r="I30" s="810">
        <v>78796502</v>
      </c>
      <c r="J30" s="810">
        <v>93326502</v>
      </c>
      <c r="K30" s="810"/>
      <c r="L30" s="810"/>
      <c r="M30" s="810"/>
      <c r="N30" s="810"/>
      <c r="O30" s="810"/>
      <c r="P30" s="810"/>
      <c r="Q30" s="810"/>
      <c r="R30" s="810"/>
      <c r="S30" s="810">
        <v>826661</v>
      </c>
      <c r="T30" s="810">
        <v>826661</v>
      </c>
      <c r="U30" s="810"/>
      <c r="V30" s="810"/>
      <c r="W30" s="810"/>
      <c r="X30" s="810"/>
      <c r="Y30" s="810"/>
      <c r="Z30" s="810"/>
      <c r="AA30" s="811"/>
      <c r="AB30" s="812"/>
      <c r="AC30" s="171"/>
      <c r="AD30" s="171"/>
    </row>
    <row r="31" spans="1:30" s="75" customFormat="1" ht="18" customHeight="1">
      <c r="A31" s="98" t="s">
        <v>286</v>
      </c>
      <c r="B31" s="88" t="s">
        <v>890</v>
      </c>
      <c r="C31" s="808">
        <f>E31+G31+I31+K31+M31+O31+Q31+S31+U31+W31+Y31+AA31</f>
        <v>0</v>
      </c>
      <c r="D31" s="808">
        <f>F31+H31+J31+L31+N31+P31+R31+T31+V31+X31+Z31+AB31</f>
        <v>6899196</v>
      </c>
      <c r="E31" s="810"/>
      <c r="F31" s="810">
        <v>954276</v>
      </c>
      <c r="G31" s="810"/>
      <c r="H31" s="810">
        <v>121527</v>
      </c>
      <c r="I31" s="810"/>
      <c r="J31" s="810">
        <v>5823393</v>
      </c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1"/>
      <c r="AB31" s="812"/>
      <c r="AC31" s="171"/>
      <c r="AD31" s="171"/>
    </row>
    <row r="32" spans="1:30" s="75" customFormat="1" ht="18" customHeight="1">
      <c r="A32" s="98" t="s">
        <v>286</v>
      </c>
      <c r="B32" s="88" t="s">
        <v>340</v>
      </c>
      <c r="C32" s="808">
        <f t="shared" si="7"/>
        <v>52089008</v>
      </c>
      <c r="D32" s="808">
        <f t="shared" si="7"/>
        <v>52089008</v>
      </c>
      <c r="E32" s="810">
        <v>46193266</v>
      </c>
      <c r="F32" s="810">
        <v>46193266</v>
      </c>
      <c r="G32" s="810">
        <v>5671032</v>
      </c>
      <c r="H32" s="810">
        <v>5671032</v>
      </c>
      <c r="I32" s="810">
        <v>224710</v>
      </c>
      <c r="J32" s="810">
        <v>224710</v>
      </c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1"/>
      <c r="AB32" s="812"/>
      <c r="AC32" s="171"/>
      <c r="AD32" s="171"/>
    </row>
    <row r="33" spans="1:30" s="75" customFormat="1" ht="18" customHeight="1">
      <c r="A33" s="98" t="s">
        <v>286</v>
      </c>
      <c r="B33" s="88" t="s">
        <v>285</v>
      </c>
      <c r="C33" s="808">
        <f t="shared" si="7"/>
        <v>48925022</v>
      </c>
      <c r="D33" s="808">
        <f t="shared" si="7"/>
        <v>49679337</v>
      </c>
      <c r="E33" s="810">
        <v>34075653</v>
      </c>
      <c r="F33" s="810">
        <f>34075653+673139</f>
        <v>34748792</v>
      </c>
      <c r="G33" s="810">
        <v>4528413</v>
      </c>
      <c r="H33" s="810">
        <v>4528413</v>
      </c>
      <c r="I33" s="810">
        <v>10320956</v>
      </c>
      <c r="J33" s="810">
        <f>10320956+55706</f>
        <v>10376662</v>
      </c>
      <c r="K33" s="810"/>
      <c r="L33" s="810"/>
      <c r="M33" s="810"/>
      <c r="N33" s="810"/>
      <c r="O33" s="810"/>
      <c r="P33" s="810"/>
      <c r="Q33" s="810"/>
      <c r="R33" s="810"/>
      <c r="S33" s="810"/>
      <c r="T33" s="810">
        <v>25470</v>
      </c>
      <c r="U33" s="810"/>
      <c r="V33" s="810"/>
      <c r="W33" s="810"/>
      <c r="X33" s="810"/>
      <c r="Y33" s="810"/>
      <c r="Z33" s="810"/>
      <c r="AA33" s="811"/>
      <c r="AB33" s="812"/>
      <c r="AC33" s="171"/>
      <c r="AD33" s="171"/>
    </row>
    <row r="34" spans="1:30" s="75" customFormat="1" ht="18" customHeight="1">
      <c r="A34" s="517" t="s">
        <v>257</v>
      </c>
      <c r="B34" s="88" t="s">
        <v>587</v>
      </c>
      <c r="C34" s="808">
        <f t="shared" si="7"/>
        <v>10907502</v>
      </c>
      <c r="D34" s="808">
        <f>F34+H34+J34+L34+N34+P34+R34+T34+V34+X34+Z34+AB34</f>
        <v>8734985</v>
      </c>
      <c r="E34" s="810">
        <v>6400000</v>
      </c>
      <c r="F34" s="810">
        <f>6400000-3367939</f>
        <v>3032061</v>
      </c>
      <c r="G34" s="810">
        <v>862000</v>
      </c>
      <c r="H34" s="810">
        <v>862000</v>
      </c>
      <c r="I34" s="810">
        <v>3645502</v>
      </c>
      <c r="J34" s="810">
        <f>3645502+1195422</f>
        <v>4840924</v>
      </c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1"/>
      <c r="AB34" s="812"/>
      <c r="AC34" s="171"/>
      <c r="AD34" s="171"/>
    </row>
    <row r="35" spans="1:30" s="75" customFormat="1" ht="18" customHeight="1">
      <c r="A35" s="110" t="s">
        <v>286</v>
      </c>
      <c r="B35" s="88" t="s">
        <v>261</v>
      </c>
      <c r="C35" s="808">
        <f>E35+G35+I35+K35+M35+O35+Q35+S35+U35+W35+Y35+AA35</f>
        <v>0</v>
      </c>
      <c r="D35" s="808">
        <f>F35+H35+J35+L35+N35+P35+R35+T35+V35+X35+Z35+AB35</f>
        <v>0</v>
      </c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1"/>
      <c r="AB35" s="812"/>
      <c r="AC35" s="171"/>
      <c r="AD35" s="171"/>
    </row>
    <row r="36" spans="1:30" s="75" customFormat="1" ht="18" customHeight="1">
      <c r="A36" s="98"/>
      <c r="B36" s="100" t="s">
        <v>305</v>
      </c>
      <c r="C36" s="808">
        <f aca="true" t="shared" si="8" ref="C36:AB36">SUM(C28:C35)</f>
        <v>562815377</v>
      </c>
      <c r="D36" s="808">
        <f t="shared" si="8"/>
        <v>573776255</v>
      </c>
      <c r="E36" s="808">
        <f t="shared" si="8"/>
        <v>329158106</v>
      </c>
      <c r="F36" s="808">
        <f t="shared" si="8"/>
        <v>314444290</v>
      </c>
      <c r="G36" s="808">
        <f t="shared" si="8"/>
        <v>49745593</v>
      </c>
      <c r="H36" s="808">
        <f t="shared" si="8"/>
        <v>46965064</v>
      </c>
      <c r="I36" s="808">
        <f t="shared" si="8"/>
        <v>171995731</v>
      </c>
      <c r="J36" s="808">
        <f t="shared" si="8"/>
        <v>199052856</v>
      </c>
      <c r="K36" s="808">
        <f t="shared" si="8"/>
        <v>270000</v>
      </c>
      <c r="L36" s="808">
        <f t="shared" si="8"/>
        <v>270000</v>
      </c>
      <c r="M36" s="808">
        <f t="shared" si="8"/>
        <v>0</v>
      </c>
      <c r="N36" s="808">
        <f t="shared" si="8"/>
        <v>0</v>
      </c>
      <c r="O36" s="808">
        <f t="shared" si="8"/>
        <v>0</v>
      </c>
      <c r="P36" s="808">
        <f t="shared" si="8"/>
        <v>0</v>
      </c>
      <c r="Q36" s="808">
        <f t="shared" si="8"/>
        <v>0</v>
      </c>
      <c r="R36" s="808">
        <f t="shared" si="8"/>
        <v>0</v>
      </c>
      <c r="S36" s="808">
        <f t="shared" si="8"/>
        <v>11645947</v>
      </c>
      <c r="T36" s="808">
        <f t="shared" si="8"/>
        <v>13044045</v>
      </c>
      <c r="U36" s="808">
        <f t="shared" si="8"/>
        <v>0</v>
      </c>
      <c r="V36" s="808">
        <f t="shared" si="8"/>
        <v>0</v>
      </c>
      <c r="W36" s="808">
        <f t="shared" si="8"/>
        <v>0</v>
      </c>
      <c r="X36" s="808">
        <f t="shared" si="8"/>
        <v>0</v>
      </c>
      <c r="Y36" s="808">
        <f t="shared" si="8"/>
        <v>0</v>
      </c>
      <c r="Z36" s="808">
        <f t="shared" si="8"/>
        <v>0</v>
      </c>
      <c r="AA36" s="851">
        <f t="shared" si="8"/>
        <v>0</v>
      </c>
      <c r="AB36" s="852">
        <f t="shared" si="8"/>
        <v>0</v>
      </c>
      <c r="AC36" s="171"/>
      <c r="AD36" s="171"/>
    </row>
    <row r="37" spans="1:30" s="75" customFormat="1" ht="10.5" customHeight="1">
      <c r="A37" s="98"/>
      <c r="B37" s="100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51"/>
      <c r="AB37" s="852"/>
      <c r="AC37" s="171"/>
      <c r="AD37" s="171"/>
    </row>
    <row r="38" spans="1:30" s="75" customFormat="1" ht="18" customHeight="1">
      <c r="A38" s="110" t="s">
        <v>257</v>
      </c>
      <c r="B38" s="109" t="s">
        <v>258</v>
      </c>
      <c r="C38" s="808">
        <f aca="true" t="shared" si="9" ref="C38:C49">E38+G38+I38+K38+M38+O38+Q38+S38+U38+W38+Y38+AA38</f>
        <v>8812063</v>
      </c>
      <c r="D38" s="808">
        <f aca="true" t="shared" si="10" ref="D38:D49">F38+H38+J38+L38+N38+P38+R38+T38+V38+X38+Z38+AB38</f>
        <v>8409564</v>
      </c>
      <c r="E38" s="810">
        <v>3263760</v>
      </c>
      <c r="F38" s="810">
        <f>3263760-331499</f>
        <v>2932261</v>
      </c>
      <c r="G38" s="810">
        <v>439289</v>
      </c>
      <c r="H38" s="810">
        <v>439289</v>
      </c>
      <c r="I38" s="810">
        <v>4809015</v>
      </c>
      <c r="J38" s="810">
        <f>4809015-71000</f>
        <v>4738015</v>
      </c>
      <c r="K38" s="810"/>
      <c r="L38" s="810"/>
      <c r="M38" s="810"/>
      <c r="N38" s="810"/>
      <c r="O38" s="810"/>
      <c r="P38" s="810"/>
      <c r="Q38" s="810"/>
      <c r="R38" s="810"/>
      <c r="S38" s="810">
        <v>299999</v>
      </c>
      <c r="T38" s="810">
        <v>299999</v>
      </c>
      <c r="U38" s="810"/>
      <c r="V38" s="810"/>
      <c r="W38" s="810"/>
      <c r="X38" s="810"/>
      <c r="Y38" s="810"/>
      <c r="Z38" s="810"/>
      <c r="AA38" s="811"/>
      <c r="AB38" s="812"/>
      <c r="AC38" s="171"/>
      <c r="AD38" s="171"/>
    </row>
    <row r="39" spans="1:30" s="75" customFormat="1" ht="18" customHeight="1">
      <c r="A39" s="110" t="s">
        <v>257</v>
      </c>
      <c r="B39" s="109" t="s">
        <v>263</v>
      </c>
      <c r="C39" s="808">
        <f t="shared" si="9"/>
        <v>12853552</v>
      </c>
      <c r="D39" s="808">
        <f t="shared" si="10"/>
        <v>10964488</v>
      </c>
      <c r="E39" s="810">
        <v>8922268</v>
      </c>
      <c r="F39" s="810">
        <f>8922268-1889064</f>
        <v>7033204</v>
      </c>
      <c r="G39" s="810">
        <v>1189895</v>
      </c>
      <c r="H39" s="810">
        <v>1189895</v>
      </c>
      <c r="I39" s="810">
        <v>2441390</v>
      </c>
      <c r="J39" s="810">
        <v>2441390</v>
      </c>
      <c r="K39" s="810"/>
      <c r="L39" s="810"/>
      <c r="M39" s="810"/>
      <c r="N39" s="810"/>
      <c r="O39" s="810"/>
      <c r="P39" s="810"/>
      <c r="Q39" s="810"/>
      <c r="R39" s="810"/>
      <c r="S39" s="810">
        <v>299999</v>
      </c>
      <c r="T39" s="810">
        <v>299999</v>
      </c>
      <c r="U39" s="810"/>
      <c r="V39" s="810"/>
      <c r="W39" s="810"/>
      <c r="X39" s="810"/>
      <c r="Y39" s="810"/>
      <c r="Z39" s="810"/>
      <c r="AA39" s="811"/>
      <c r="AB39" s="812"/>
      <c r="AC39" s="171"/>
      <c r="AD39" s="171"/>
    </row>
    <row r="40" spans="1:30" s="75" customFormat="1" ht="18" customHeight="1">
      <c r="A40" s="110" t="s">
        <v>257</v>
      </c>
      <c r="B40" s="109" t="s">
        <v>287</v>
      </c>
      <c r="C40" s="808">
        <f t="shared" si="9"/>
        <v>25953698</v>
      </c>
      <c r="D40" s="808">
        <f t="shared" si="10"/>
        <v>28357345</v>
      </c>
      <c r="E40" s="810">
        <v>16037446</v>
      </c>
      <c r="F40" s="810">
        <f>15937446+2503647</f>
        <v>18441093</v>
      </c>
      <c r="G40" s="810">
        <v>2159868</v>
      </c>
      <c r="H40" s="810">
        <v>2159868</v>
      </c>
      <c r="I40" s="810">
        <v>7756384</v>
      </c>
      <c r="J40" s="810">
        <v>7756384</v>
      </c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1"/>
      <c r="AB40" s="812"/>
      <c r="AC40" s="171"/>
      <c r="AD40" s="171"/>
    </row>
    <row r="41" spans="1:30" s="75" customFormat="1" ht="18" customHeight="1">
      <c r="A41" s="110" t="s">
        <v>257</v>
      </c>
      <c r="B41" s="109" t="s">
        <v>288</v>
      </c>
      <c r="C41" s="808">
        <f t="shared" si="9"/>
        <v>69912649</v>
      </c>
      <c r="D41" s="808">
        <f t="shared" si="10"/>
        <v>71803094</v>
      </c>
      <c r="E41" s="810">
        <v>34510837</v>
      </c>
      <c r="F41" s="810">
        <f>34510837+1281813+100000-538367</f>
        <v>35354283</v>
      </c>
      <c r="G41" s="810">
        <v>4581463</v>
      </c>
      <c r="H41" s="810">
        <f>4581463+168187-142187</f>
        <v>4607463</v>
      </c>
      <c r="I41" s="810">
        <v>29146794</v>
      </c>
      <c r="J41" s="810">
        <f>29146794+71000</f>
        <v>29217794</v>
      </c>
      <c r="K41" s="810"/>
      <c r="L41" s="810"/>
      <c r="M41" s="810"/>
      <c r="N41" s="810"/>
      <c r="O41" s="810"/>
      <c r="P41" s="810"/>
      <c r="Q41" s="810"/>
      <c r="R41" s="810"/>
      <c r="S41" s="810">
        <v>1673555</v>
      </c>
      <c r="T41" s="810">
        <f>1673555+949999</f>
        <v>2623554</v>
      </c>
      <c r="U41" s="810"/>
      <c r="V41" s="810"/>
      <c r="W41" s="810"/>
      <c r="X41" s="810"/>
      <c r="Y41" s="810"/>
      <c r="Z41" s="810"/>
      <c r="AA41" s="811"/>
      <c r="AB41" s="812"/>
      <c r="AC41" s="171"/>
      <c r="AD41" s="171"/>
    </row>
    <row r="42" spans="1:30" s="75" customFormat="1" ht="18" customHeight="1">
      <c r="A42" s="110" t="s">
        <v>257</v>
      </c>
      <c r="B42" s="109" t="s">
        <v>300</v>
      </c>
      <c r="C42" s="808">
        <f t="shared" si="9"/>
        <v>108711897</v>
      </c>
      <c r="D42" s="808">
        <f t="shared" si="10"/>
        <v>108286864</v>
      </c>
      <c r="E42" s="809">
        <v>25659263</v>
      </c>
      <c r="F42" s="809">
        <f>25659263-147279-70013-669812</f>
        <v>24772159</v>
      </c>
      <c r="G42" s="809">
        <v>3444904</v>
      </c>
      <c r="H42" s="809">
        <f>3444904+86896</f>
        <v>3531800</v>
      </c>
      <c r="I42" s="809">
        <v>79607730</v>
      </c>
      <c r="J42" s="809">
        <f>79607730+513182-300942</f>
        <v>79819970</v>
      </c>
      <c r="K42" s="809"/>
      <c r="L42" s="809"/>
      <c r="M42" s="809"/>
      <c r="N42" s="809"/>
      <c r="O42" s="809"/>
      <c r="P42" s="809"/>
      <c r="Q42" s="809"/>
      <c r="R42" s="809"/>
      <c r="S42" s="809"/>
      <c r="T42" s="809">
        <v>162935</v>
      </c>
      <c r="U42" s="810"/>
      <c r="V42" s="810"/>
      <c r="W42" s="810"/>
      <c r="X42" s="810"/>
      <c r="Y42" s="810"/>
      <c r="Z42" s="810"/>
      <c r="AA42" s="811"/>
      <c r="AB42" s="812"/>
      <c r="AC42" s="171"/>
      <c r="AD42" s="171"/>
    </row>
    <row r="43" spans="1:30" s="75" customFormat="1" ht="18" customHeight="1">
      <c r="A43" s="110" t="s">
        <v>257</v>
      </c>
      <c r="B43" s="109" t="s">
        <v>301</v>
      </c>
      <c r="C43" s="808">
        <f t="shared" si="9"/>
        <v>539750</v>
      </c>
      <c r="D43" s="808">
        <f t="shared" si="10"/>
        <v>556108</v>
      </c>
      <c r="E43" s="809"/>
      <c r="F43" s="809">
        <v>16358</v>
      </c>
      <c r="G43" s="809"/>
      <c r="H43" s="809"/>
      <c r="I43" s="809">
        <v>539750</v>
      </c>
      <c r="J43" s="809">
        <v>539750</v>
      </c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10"/>
      <c r="V43" s="810"/>
      <c r="W43" s="810"/>
      <c r="X43" s="810"/>
      <c r="Y43" s="810"/>
      <c r="Z43" s="810"/>
      <c r="AA43" s="811"/>
      <c r="AB43" s="812"/>
      <c r="AC43" s="171"/>
      <c r="AD43" s="171"/>
    </row>
    <row r="44" spans="1:30" s="75" customFormat="1" ht="18" customHeight="1">
      <c r="A44" s="110" t="s">
        <v>257</v>
      </c>
      <c r="B44" s="109" t="s">
        <v>779</v>
      </c>
      <c r="C44" s="808">
        <f t="shared" si="9"/>
        <v>8322250</v>
      </c>
      <c r="D44" s="808">
        <f t="shared" si="10"/>
        <v>9804512</v>
      </c>
      <c r="E44" s="809">
        <v>200000</v>
      </c>
      <c r="F44" s="809">
        <f>200000+1339868+142394</f>
        <v>1682262</v>
      </c>
      <c r="G44" s="809">
        <v>26000</v>
      </c>
      <c r="H44" s="809">
        <v>26000</v>
      </c>
      <c r="I44" s="809">
        <v>8096250</v>
      </c>
      <c r="J44" s="809">
        <v>8096250</v>
      </c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10"/>
      <c r="V44" s="810"/>
      <c r="W44" s="810"/>
      <c r="X44" s="810"/>
      <c r="Y44" s="810"/>
      <c r="Z44" s="810"/>
      <c r="AA44" s="811"/>
      <c r="AB44" s="812"/>
      <c r="AC44" s="171"/>
      <c r="AD44" s="171"/>
    </row>
    <row r="45" spans="1:30" s="75" customFormat="1" ht="18" customHeight="1">
      <c r="A45" s="110" t="s">
        <v>257</v>
      </c>
      <c r="B45" s="109" t="s">
        <v>596</v>
      </c>
      <c r="C45" s="808">
        <f>E45+G45+I45+K45+M45+O45+Q45+S45+U45+W45+Y45+AA45</f>
        <v>14509591</v>
      </c>
      <c r="D45" s="808">
        <f>F45+H45+J45+L45+N45+P45+R45+T45+V45+X45+Z45+AB45</f>
        <v>14509591</v>
      </c>
      <c r="E45" s="809"/>
      <c r="F45" s="809"/>
      <c r="G45" s="925"/>
      <c r="H45" s="925"/>
      <c r="I45" s="809">
        <v>14509591</v>
      </c>
      <c r="J45" s="809">
        <v>14509591</v>
      </c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10"/>
      <c r="V45" s="810"/>
      <c r="W45" s="810"/>
      <c r="X45" s="810"/>
      <c r="Y45" s="810"/>
      <c r="Z45" s="810"/>
      <c r="AA45" s="811"/>
      <c r="AB45" s="812"/>
      <c r="AC45" s="171"/>
      <c r="AD45" s="171"/>
    </row>
    <row r="46" spans="1:30" s="516" customFormat="1" ht="18" customHeight="1">
      <c r="A46" s="110" t="s">
        <v>257</v>
      </c>
      <c r="B46" s="109" t="s">
        <v>339</v>
      </c>
      <c r="C46" s="926">
        <f t="shared" si="9"/>
        <v>360731</v>
      </c>
      <c r="D46" s="926">
        <f t="shared" si="10"/>
        <v>360731</v>
      </c>
      <c r="E46" s="809"/>
      <c r="F46" s="809"/>
      <c r="G46" s="809"/>
      <c r="H46" s="809"/>
      <c r="I46" s="809">
        <v>360731</v>
      </c>
      <c r="J46" s="809">
        <v>360731</v>
      </c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927"/>
      <c r="AB46" s="928"/>
      <c r="AC46" s="547"/>
      <c r="AD46" s="547"/>
    </row>
    <row r="47" spans="1:30" s="75" customFormat="1" ht="18" customHeight="1">
      <c r="A47" s="110" t="s">
        <v>404</v>
      </c>
      <c r="B47" s="109" t="s">
        <v>463</v>
      </c>
      <c r="C47" s="808">
        <f t="shared" si="9"/>
        <v>0</v>
      </c>
      <c r="D47" s="808">
        <f t="shared" si="10"/>
        <v>0</v>
      </c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10"/>
      <c r="V47" s="810"/>
      <c r="W47" s="810"/>
      <c r="X47" s="810"/>
      <c r="Y47" s="810"/>
      <c r="Z47" s="810"/>
      <c r="AA47" s="811"/>
      <c r="AB47" s="812"/>
      <c r="AC47" s="171"/>
      <c r="AD47" s="171"/>
    </row>
    <row r="48" spans="1:30" s="75" customFormat="1" ht="18" customHeight="1">
      <c r="A48" s="110" t="s">
        <v>678</v>
      </c>
      <c r="B48" s="574" t="s">
        <v>280</v>
      </c>
      <c r="C48" s="808">
        <f t="shared" si="9"/>
        <v>7408200</v>
      </c>
      <c r="D48" s="808">
        <f t="shared" si="10"/>
        <v>7408200</v>
      </c>
      <c r="E48" s="809"/>
      <c r="F48" s="809"/>
      <c r="G48" s="809"/>
      <c r="H48" s="809"/>
      <c r="I48" s="809">
        <v>7408200</v>
      </c>
      <c r="J48" s="809">
        <v>7408200</v>
      </c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10"/>
      <c r="V48" s="810"/>
      <c r="W48" s="810"/>
      <c r="X48" s="810"/>
      <c r="Y48" s="810"/>
      <c r="Z48" s="810"/>
      <c r="AA48" s="811"/>
      <c r="AB48" s="812"/>
      <c r="AC48" s="171"/>
      <c r="AD48" s="171"/>
    </row>
    <row r="49" spans="1:30" s="75" customFormat="1" ht="18" customHeight="1">
      <c r="A49" s="110" t="s">
        <v>257</v>
      </c>
      <c r="B49" s="88" t="s">
        <v>261</v>
      </c>
      <c r="C49" s="808">
        <f t="shared" si="9"/>
        <v>0</v>
      </c>
      <c r="D49" s="808">
        <f t="shared" si="10"/>
        <v>0</v>
      </c>
      <c r="E49" s="810"/>
      <c r="F49" s="810"/>
      <c r="G49" s="809"/>
      <c r="H49" s="809"/>
      <c r="I49" s="809"/>
      <c r="J49" s="809"/>
      <c r="K49" s="809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1"/>
      <c r="AB49" s="812"/>
      <c r="AC49" s="171"/>
      <c r="AD49" s="171"/>
    </row>
    <row r="50" spans="1:30" s="75" customFormat="1" ht="18" customHeight="1">
      <c r="A50" s="98"/>
      <c r="B50" s="100" t="s">
        <v>348</v>
      </c>
      <c r="C50" s="808">
        <f aca="true" t="shared" si="11" ref="C50:AB50">SUM(C38:C49)</f>
        <v>257384381</v>
      </c>
      <c r="D50" s="808">
        <f>SUM(D38:D49)</f>
        <v>260460497</v>
      </c>
      <c r="E50" s="808">
        <f>SUM(E38:E49)</f>
        <v>88593574</v>
      </c>
      <c r="F50" s="808">
        <f>SUM(F38:F49)</f>
        <v>90231620</v>
      </c>
      <c r="G50" s="808">
        <f t="shared" si="11"/>
        <v>11841419</v>
      </c>
      <c r="H50" s="808">
        <f t="shared" si="11"/>
        <v>11954315</v>
      </c>
      <c r="I50" s="808">
        <f t="shared" si="11"/>
        <v>154675835</v>
      </c>
      <c r="J50" s="808">
        <f t="shared" si="11"/>
        <v>154888075</v>
      </c>
      <c r="K50" s="808">
        <f t="shared" si="11"/>
        <v>0</v>
      </c>
      <c r="L50" s="808">
        <f t="shared" si="11"/>
        <v>0</v>
      </c>
      <c r="M50" s="808">
        <f t="shared" si="11"/>
        <v>0</v>
      </c>
      <c r="N50" s="808">
        <f t="shared" si="11"/>
        <v>0</v>
      </c>
      <c r="O50" s="808">
        <f t="shared" si="11"/>
        <v>0</v>
      </c>
      <c r="P50" s="808">
        <f t="shared" si="11"/>
        <v>0</v>
      </c>
      <c r="Q50" s="808">
        <f t="shared" si="11"/>
        <v>0</v>
      </c>
      <c r="R50" s="808">
        <f t="shared" si="11"/>
        <v>0</v>
      </c>
      <c r="S50" s="808">
        <f t="shared" si="11"/>
        <v>2273553</v>
      </c>
      <c r="T50" s="808">
        <f t="shared" si="11"/>
        <v>3386487</v>
      </c>
      <c r="U50" s="808">
        <f t="shared" si="11"/>
        <v>0</v>
      </c>
      <c r="V50" s="808">
        <f t="shared" si="11"/>
        <v>0</v>
      </c>
      <c r="W50" s="808">
        <f t="shared" si="11"/>
        <v>0</v>
      </c>
      <c r="X50" s="808">
        <f t="shared" si="11"/>
        <v>0</v>
      </c>
      <c r="Y50" s="808">
        <f t="shared" si="11"/>
        <v>0</v>
      </c>
      <c r="Z50" s="808">
        <f t="shared" si="11"/>
        <v>0</v>
      </c>
      <c r="AA50" s="851">
        <f t="shared" si="11"/>
        <v>0</v>
      </c>
      <c r="AB50" s="852">
        <f t="shared" si="11"/>
        <v>0</v>
      </c>
      <c r="AC50" s="171"/>
      <c r="AD50" s="171"/>
    </row>
    <row r="51" spans="1:30" s="75" customFormat="1" ht="9" customHeight="1">
      <c r="A51" s="98"/>
      <c r="B51" s="88"/>
      <c r="C51" s="808"/>
      <c r="D51" s="808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1"/>
      <c r="AB51" s="812"/>
      <c r="AC51" s="171"/>
      <c r="AD51" s="171"/>
    </row>
    <row r="52" spans="1:30" s="75" customFormat="1" ht="18" customHeight="1">
      <c r="A52" s="1204" t="s">
        <v>71</v>
      </c>
      <c r="B52" s="1205"/>
      <c r="C52" s="808">
        <f>C18+C26+C36+C50</f>
        <v>1152890346</v>
      </c>
      <c r="D52" s="808">
        <f aca="true" t="shared" si="12" ref="D52:K52">D18+D26+D36+D50</f>
        <v>1170007607</v>
      </c>
      <c r="E52" s="808">
        <f t="shared" si="12"/>
        <v>627351055</v>
      </c>
      <c r="F52" s="808">
        <f t="shared" si="12"/>
        <v>615493730</v>
      </c>
      <c r="G52" s="808">
        <f t="shared" si="12"/>
        <v>92827520</v>
      </c>
      <c r="H52" s="808">
        <f t="shared" si="12"/>
        <v>90773412</v>
      </c>
      <c r="I52" s="808">
        <f t="shared" si="12"/>
        <v>417559426</v>
      </c>
      <c r="J52" s="808">
        <f t="shared" si="12"/>
        <v>444356906</v>
      </c>
      <c r="K52" s="808">
        <f t="shared" si="12"/>
        <v>270000</v>
      </c>
      <c r="L52" s="808">
        <f aca="true" t="shared" si="13" ref="L52:AB52">L18+L26+L36+L50</f>
        <v>270000</v>
      </c>
      <c r="M52" s="808">
        <f>M18+M26+M36+M50</f>
        <v>40845</v>
      </c>
      <c r="N52" s="808">
        <f t="shared" si="13"/>
        <v>40845</v>
      </c>
      <c r="O52" s="808">
        <f>O18+O26+O36+O50</f>
        <v>0</v>
      </c>
      <c r="P52" s="808">
        <f t="shared" si="13"/>
        <v>0</v>
      </c>
      <c r="Q52" s="808">
        <f>Q18+Q26+Q36+Q50</f>
        <v>0</v>
      </c>
      <c r="R52" s="808">
        <f t="shared" si="13"/>
        <v>0</v>
      </c>
      <c r="S52" s="808">
        <f>S18+S26+S36+S50</f>
        <v>14841500</v>
      </c>
      <c r="T52" s="808">
        <f t="shared" si="13"/>
        <v>19072714</v>
      </c>
      <c r="U52" s="808">
        <f>U18+U26+U36+U50</f>
        <v>0</v>
      </c>
      <c r="V52" s="808">
        <f t="shared" si="13"/>
        <v>0</v>
      </c>
      <c r="W52" s="808">
        <f>W18+W26+W36+W50</f>
        <v>0</v>
      </c>
      <c r="X52" s="808">
        <f t="shared" si="13"/>
        <v>0</v>
      </c>
      <c r="Y52" s="808">
        <f>Y18+Y26+Y36+Y50</f>
        <v>0</v>
      </c>
      <c r="Z52" s="808">
        <f t="shared" si="13"/>
        <v>0</v>
      </c>
      <c r="AA52" s="851">
        <f>AA18+AA26+AA36+AA50</f>
        <v>0</v>
      </c>
      <c r="AB52" s="852">
        <f t="shared" si="13"/>
        <v>0</v>
      </c>
      <c r="AC52" s="171"/>
      <c r="AD52" s="171"/>
    </row>
    <row r="53" spans="1:30" s="75" customFormat="1" ht="8.25" customHeight="1">
      <c r="A53" s="98"/>
      <c r="B53" s="88"/>
      <c r="C53" s="808"/>
      <c r="D53" s="808"/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  <c r="Y53" s="810"/>
      <c r="Z53" s="810"/>
      <c r="AA53" s="811"/>
      <c r="AB53" s="812"/>
      <c r="AC53" s="171"/>
      <c r="AD53" s="171"/>
    </row>
    <row r="54" spans="1:30" s="75" customFormat="1" ht="18" customHeight="1">
      <c r="A54" s="1204" t="s">
        <v>9</v>
      </c>
      <c r="B54" s="1205"/>
      <c r="C54" s="824">
        <f>C52-C56-C58</f>
        <v>600982471</v>
      </c>
      <c r="D54" s="824">
        <f>D52-D56-D58</f>
        <v>604740455</v>
      </c>
      <c r="E54" s="824">
        <f aca="true" t="shared" si="14" ref="E54:AA54">E52-E56-E58</f>
        <v>304592949</v>
      </c>
      <c r="F54" s="824">
        <f t="shared" si="14"/>
        <v>304081501</v>
      </c>
      <c r="G54" s="824">
        <f t="shared" si="14"/>
        <v>43943927</v>
      </c>
      <c r="H54" s="824">
        <f t="shared" si="14"/>
        <v>44670348</v>
      </c>
      <c r="I54" s="824">
        <f t="shared" si="14"/>
        <v>249209197</v>
      </c>
      <c r="J54" s="824">
        <f t="shared" si="14"/>
        <v>249919092</v>
      </c>
      <c r="K54" s="824">
        <f t="shared" si="14"/>
        <v>0</v>
      </c>
      <c r="L54" s="824">
        <f t="shared" si="14"/>
        <v>0</v>
      </c>
      <c r="M54" s="824">
        <f t="shared" si="14"/>
        <v>40845</v>
      </c>
      <c r="N54" s="824">
        <f t="shared" si="14"/>
        <v>40845</v>
      </c>
      <c r="O54" s="824">
        <f t="shared" si="14"/>
        <v>0</v>
      </c>
      <c r="P54" s="824">
        <f t="shared" si="14"/>
        <v>0</v>
      </c>
      <c r="Q54" s="824">
        <f t="shared" si="14"/>
        <v>0</v>
      </c>
      <c r="R54" s="824">
        <f t="shared" si="14"/>
        <v>0</v>
      </c>
      <c r="S54" s="824">
        <f t="shared" si="14"/>
        <v>3195553</v>
      </c>
      <c r="T54" s="824">
        <f t="shared" si="14"/>
        <v>6028669</v>
      </c>
      <c r="U54" s="824">
        <f t="shared" si="14"/>
        <v>0</v>
      </c>
      <c r="V54" s="824">
        <f t="shared" si="14"/>
        <v>0</v>
      </c>
      <c r="W54" s="824">
        <f t="shared" si="14"/>
        <v>0</v>
      </c>
      <c r="X54" s="824">
        <f t="shared" si="14"/>
        <v>0</v>
      </c>
      <c r="Y54" s="824">
        <f t="shared" si="14"/>
        <v>0</v>
      </c>
      <c r="Z54" s="824">
        <f t="shared" si="14"/>
        <v>0</v>
      </c>
      <c r="AA54" s="824">
        <f t="shared" si="14"/>
        <v>0</v>
      </c>
      <c r="AB54" s="854">
        <f>AB11+AB12+AB13+AB14+AB20+AB21+AB22+AB38+AB39+AB40+AB41+AB42+AB46</f>
        <v>0</v>
      </c>
      <c r="AC54" s="171"/>
      <c r="AD54" s="171"/>
    </row>
    <row r="55" spans="1:30" s="75" customFormat="1" ht="9" customHeight="1">
      <c r="A55" s="98"/>
      <c r="B55" s="89"/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  <c r="O55" s="824"/>
      <c r="P55" s="824"/>
      <c r="Q55" s="824"/>
      <c r="R55" s="824"/>
      <c r="S55" s="824"/>
      <c r="T55" s="824"/>
      <c r="U55" s="824"/>
      <c r="V55" s="824"/>
      <c r="W55" s="824"/>
      <c r="X55" s="824"/>
      <c r="Y55" s="824"/>
      <c r="Z55" s="824"/>
      <c r="AA55" s="853"/>
      <c r="AB55" s="854"/>
      <c r="AC55" s="171"/>
      <c r="AD55" s="171"/>
    </row>
    <row r="56" spans="1:30" s="75" customFormat="1" ht="18" customHeight="1">
      <c r="A56" s="1204" t="s">
        <v>403</v>
      </c>
      <c r="B56" s="1205"/>
      <c r="C56" s="824">
        <f>C47+C33+C32+C30+C29+C28+C31</f>
        <v>551907875</v>
      </c>
      <c r="D56" s="824">
        <f aca="true" t="shared" si="15" ref="D56:AB56">D47+D33+D32+D30+D29+D28+D23+D31</f>
        <v>565267152</v>
      </c>
      <c r="E56" s="824">
        <f t="shared" si="15"/>
        <v>322758106</v>
      </c>
      <c r="F56" s="824">
        <f t="shared" si="15"/>
        <v>311412229</v>
      </c>
      <c r="G56" s="824">
        <f t="shared" si="15"/>
        <v>48883593</v>
      </c>
      <c r="H56" s="824">
        <f t="shared" si="15"/>
        <v>46103064</v>
      </c>
      <c r="I56" s="824">
        <f t="shared" si="15"/>
        <v>168350229</v>
      </c>
      <c r="J56" s="824">
        <f t="shared" si="15"/>
        <v>194437814</v>
      </c>
      <c r="K56" s="824">
        <f t="shared" si="15"/>
        <v>270000</v>
      </c>
      <c r="L56" s="824">
        <f t="shared" si="15"/>
        <v>270000</v>
      </c>
      <c r="M56" s="824">
        <f t="shared" si="15"/>
        <v>0</v>
      </c>
      <c r="N56" s="824">
        <f t="shared" si="15"/>
        <v>0</v>
      </c>
      <c r="O56" s="824">
        <f t="shared" si="15"/>
        <v>0</v>
      </c>
      <c r="P56" s="824">
        <f t="shared" si="15"/>
        <v>0</v>
      </c>
      <c r="Q56" s="824">
        <f t="shared" si="15"/>
        <v>0</v>
      </c>
      <c r="R56" s="824">
        <f t="shared" si="15"/>
        <v>0</v>
      </c>
      <c r="S56" s="824">
        <f t="shared" si="15"/>
        <v>11645947</v>
      </c>
      <c r="T56" s="824">
        <f t="shared" si="15"/>
        <v>13044045</v>
      </c>
      <c r="U56" s="824">
        <f t="shared" si="15"/>
        <v>0</v>
      </c>
      <c r="V56" s="824">
        <f t="shared" si="15"/>
        <v>0</v>
      </c>
      <c r="W56" s="824">
        <f t="shared" si="15"/>
        <v>0</v>
      </c>
      <c r="X56" s="824">
        <f t="shared" si="15"/>
        <v>0</v>
      </c>
      <c r="Y56" s="824">
        <f t="shared" si="15"/>
        <v>0</v>
      </c>
      <c r="Z56" s="824">
        <f t="shared" si="15"/>
        <v>0</v>
      </c>
      <c r="AA56" s="824">
        <f t="shared" si="15"/>
        <v>0</v>
      </c>
      <c r="AB56" s="824">
        <f t="shared" si="15"/>
        <v>0</v>
      </c>
      <c r="AC56" s="171"/>
      <c r="AD56" s="171"/>
    </row>
    <row r="57" spans="1:30" ht="12.75">
      <c r="A57" s="98"/>
      <c r="B57" s="89"/>
      <c r="C57" s="824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4"/>
      <c r="U57" s="824"/>
      <c r="V57" s="824"/>
      <c r="W57" s="824"/>
      <c r="X57" s="824"/>
      <c r="Y57" s="824"/>
      <c r="Z57" s="824"/>
      <c r="AA57" s="853"/>
      <c r="AB57" s="854"/>
      <c r="AC57" s="175"/>
      <c r="AD57" s="175"/>
    </row>
    <row r="58" spans="1:30" ht="13.5" thickBot="1">
      <c r="A58" s="1240" t="s">
        <v>462</v>
      </c>
      <c r="B58" s="1241"/>
      <c r="C58" s="855">
        <v>0</v>
      </c>
      <c r="D58" s="855">
        <v>0</v>
      </c>
      <c r="E58" s="855">
        <v>0</v>
      </c>
      <c r="F58" s="855">
        <v>0</v>
      </c>
      <c r="G58" s="855">
        <v>0</v>
      </c>
      <c r="H58" s="855">
        <v>0</v>
      </c>
      <c r="I58" s="855">
        <v>0</v>
      </c>
      <c r="J58" s="855">
        <v>0</v>
      </c>
      <c r="K58" s="855">
        <v>0</v>
      </c>
      <c r="L58" s="855">
        <v>0</v>
      </c>
      <c r="M58" s="855">
        <v>0</v>
      </c>
      <c r="N58" s="855">
        <v>0</v>
      </c>
      <c r="O58" s="855">
        <v>0</v>
      </c>
      <c r="P58" s="855">
        <v>0</v>
      </c>
      <c r="Q58" s="855">
        <v>0</v>
      </c>
      <c r="R58" s="855">
        <v>0</v>
      </c>
      <c r="S58" s="855">
        <v>0</v>
      </c>
      <c r="T58" s="855">
        <v>0</v>
      </c>
      <c r="U58" s="855">
        <v>0</v>
      </c>
      <c r="V58" s="855">
        <v>0</v>
      </c>
      <c r="W58" s="855">
        <v>0</v>
      </c>
      <c r="X58" s="855">
        <v>0</v>
      </c>
      <c r="Y58" s="855">
        <v>0</v>
      </c>
      <c r="Z58" s="855">
        <v>0</v>
      </c>
      <c r="AA58" s="856">
        <f>AA33+AA36+AA35+AA47+AA50</f>
        <v>0</v>
      </c>
      <c r="AB58" s="857">
        <f>AB33+AB36+AB35+AB47+AB50</f>
        <v>0</v>
      </c>
      <c r="AC58" s="175"/>
      <c r="AD58" s="175"/>
    </row>
    <row r="59" spans="3:28" ht="12.75">
      <c r="C59" s="924"/>
      <c r="D59" s="924"/>
      <c r="E59" s="924"/>
      <c r="F59" s="924"/>
      <c r="G59" s="924"/>
      <c r="H59" s="924"/>
      <c r="I59" s="924"/>
      <c r="J59" s="924"/>
      <c r="K59" s="924"/>
      <c r="L59" s="924"/>
      <c r="M59" s="924"/>
      <c r="N59" s="924"/>
      <c r="O59" s="924"/>
      <c r="P59" s="924"/>
      <c r="Q59" s="924"/>
      <c r="R59" s="924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</row>
    <row r="60" spans="3:28" ht="12.75"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</row>
    <row r="62" spans="4:10" ht="12.75">
      <c r="D62" s="174"/>
      <c r="E62" s="174"/>
      <c r="F62" s="174"/>
      <c r="G62" s="174"/>
      <c r="H62" s="174"/>
      <c r="I62" s="174"/>
      <c r="J62" s="174"/>
    </row>
  </sheetData>
  <sheetProtection/>
  <mergeCells count="23">
    <mergeCell ref="I7:J8"/>
    <mergeCell ref="E6:P6"/>
    <mergeCell ref="K7:L8"/>
    <mergeCell ref="M7:N8"/>
    <mergeCell ref="O7:P8"/>
    <mergeCell ref="U7:V8"/>
    <mergeCell ref="A58:B58"/>
    <mergeCell ref="A54:B54"/>
    <mergeCell ref="A56:B56"/>
    <mergeCell ref="A3:AB3"/>
    <mergeCell ref="A52:B52"/>
    <mergeCell ref="A10:B10"/>
    <mergeCell ref="A6:B9"/>
    <mergeCell ref="C6:D8"/>
    <mergeCell ref="E7:F8"/>
    <mergeCell ref="G7:H8"/>
    <mergeCell ref="W7:X8"/>
    <mergeCell ref="Y7:Z8"/>
    <mergeCell ref="AA7:AB8"/>
    <mergeCell ref="Y6:AB6"/>
    <mergeCell ref="Q6:X6"/>
    <mergeCell ref="Q7:R8"/>
    <mergeCell ref="S7:T8"/>
  </mergeCells>
  <printOptions horizontalCentered="1"/>
  <pageMargins left="0.15748031496062992" right="0.15748031496062992" top="0.7874015748031497" bottom="0.31496062992125984" header="0.8661417322834646" footer="0.31496062992125984"/>
  <pageSetup horizontalDpi="600" verticalDpi="600" orientation="landscape" paperSize="8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61"/>
  <sheetViews>
    <sheetView zoomScalePageLayoutView="0" workbookViewId="0" topLeftCell="A17">
      <selection activeCell="A26" sqref="A26:IV26"/>
    </sheetView>
  </sheetViews>
  <sheetFormatPr defaultColWidth="9.00390625" defaultRowHeight="12.75"/>
  <cols>
    <col min="1" max="1" width="1.625" style="341" customWidth="1"/>
    <col min="2" max="2" width="27.75390625" style="341" bestFit="1" customWidth="1"/>
    <col min="3" max="3" width="6.625" style="341" customWidth="1"/>
    <col min="4" max="4" width="12.00390625" style="341" customWidth="1"/>
    <col min="5" max="5" width="12.75390625" style="341" customWidth="1"/>
    <col min="6" max="6" width="12.375" style="341" bestFit="1" customWidth="1"/>
    <col min="7" max="7" width="9.875" style="341" customWidth="1"/>
    <col min="8" max="8" width="8.625" style="341" customWidth="1"/>
    <col min="9" max="9" width="8.75390625" style="341" customWidth="1"/>
    <col min="10" max="16384" width="9.125" style="341" customWidth="1"/>
  </cols>
  <sheetData>
    <row r="1" ht="10.5" customHeight="1"/>
    <row r="2" spans="3:4" ht="12.75">
      <c r="C2" s="340" t="s">
        <v>101</v>
      </c>
      <c r="D2" s="341" t="str">
        <f>'bev-int'!B1</f>
        <v>melléklet a …/2024. (III.  .) önkormányzati rendelethez</v>
      </c>
    </row>
    <row r="3" ht="12.75">
      <c r="C3" s="340"/>
    </row>
    <row r="4" ht="12.75">
      <c r="C4" s="340"/>
    </row>
    <row r="5" spans="2:6" ht="12.75">
      <c r="B5" s="1289" t="s">
        <v>718</v>
      </c>
      <c r="C5" s="1289"/>
      <c r="D5" s="1289"/>
      <c r="E5" s="1289"/>
      <c r="F5" s="1289"/>
    </row>
    <row r="6" ht="12.75" customHeight="1" hidden="1"/>
    <row r="7" ht="5.25" customHeight="1"/>
    <row r="8" ht="5.25" customHeight="1"/>
    <row r="9" ht="18" customHeight="1" thickBot="1"/>
    <row r="10" spans="2:9" s="92" customFormat="1" ht="38.25" customHeight="1" thickBot="1">
      <c r="B10" s="1290" t="s">
        <v>84</v>
      </c>
      <c r="C10" s="618"/>
      <c r="D10" s="1282" t="s">
        <v>719</v>
      </c>
      <c r="E10" s="1283"/>
      <c r="F10" s="1284" t="s">
        <v>360</v>
      </c>
      <c r="G10" s="1282" t="s">
        <v>873</v>
      </c>
      <c r="H10" s="1283"/>
      <c r="I10" s="1284" t="s">
        <v>360</v>
      </c>
    </row>
    <row r="11" spans="2:9" s="92" customFormat="1" ht="12.75" customHeight="1" thickBot="1">
      <c r="B11" s="1291"/>
      <c r="C11" s="1293" t="s">
        <v>225</v>
      </c>
      <c r="D11" s="1278" t="s">
        <v>85</v>
      </c>
      <c r="E11" s="1287" t="s">
        <v>86</v>
      </c>
      <c r="F11" s="1285"/>
      <c r="G11" s="1278" t="s">
        <v>85</v>
      </c>
      <c r="H11" s="1287" t="s">
        <v>86</v>
      </c>
      <c r="I11" s="1285"/>
    </row>
    <row r="12" spans="2:9" s="92" customFormat="1" ht="42.75" customHeight="1" thickBot="1">
      <c r="B12" s="1292"/>
      <c r="C12" s="1294"/>
      <c r="D12" s="1279"/>
      <c r="E12" s="1288"/>
      <c r="F12" s="1286"/>
      <c r="G12" s="1279"/>
      <c r="H12" s="1288"/>
      <c r="I12" s="1286"/>
    </row>
    <row r="13" spans="2:9" s="77" customFormat="1" ht="12">
      <c r="B13" s="564" t="s">
        <v>572</v>
      </c>
      <c r="C13" s="565"/>
      <c r="D13" s="619">
        <v>36</v>
      </c>
      <c r="E13" s="626">
        <v>1.5</v>
      </c>
      <c r="F13" s="448"/>
      <c r="G13" s="619">
        <v>36</v>
      </c>
      <c r="H13" s="626">
        <v>1.5</v>
      </c>
      <c r="I13" s="448"/>
    </row>
    <row r="14" spans="2:9" s="77" customFormat="1" ht="12">
      <c r="B14" s="561"/>
      <c r="C14" s="562"/>
      <c r="D14" s="620"/>
      <c r="E14" s="627"/>
      <c r="F14" s="560"/>
      <c r="G14" s="620"/>
      <c r="H14" s="627"/>
      <c r="I14" s="560"/>
    </row>
    <row r="15" spans="2:9" s="77" customFormat="1" ht="12">
      <c r="B15" s="558" t="s">
        <v>42</v>
      </c>
      <c r="C15" s="559" t="s">
        <v>407</v>
      </c>
      <c r="D15" s="621">
        <v>6</v>
      </c>
      <c r="E15" s="627"/>
      <c r="F15" s="560">
        <v>2</v>
      </c>
      <c r="G15" s="621">
        <v>6</v>
      </c>
      <c r="H15" s="627"/>
      <c r="I15" s="560">
        <v>2</v>
      </c>
    </row>
    <row r="16" spans="2:9" s="77" customFormat="1" ht="12">
      <c r="B16" s="561"/>
      <c r="C16" s="562"/>
      <c r="D16" s="620"/>
      <c r="E16" s="627"/>
      <c r="F16" s="560"/>
      <c r="G16" s="620"/>
      <c r="H16" s="627"/>
      <c r="I16" s="560"/>
    </row>
    <row r="17" spans="2:9" s="77" customFormat="1" ht="12">
      <c r="B17" s="558" t="s">
        <v>58</v>
      </c>
      <c r="C17" s="559"/>
      <c r="D17" s="621">
        <v>30</v>
      </c>
      <c r="E17" s="628">
        <v>0.75</v>
      </c>
      <c r="F17" s="566">
        <v>2</v>
      </c>
      <c r="G17" s="621">
        <v>30</v>
      </c>
      <c r="H17" s="628">
        <v>0.75</v>
      </c>
      <c r="I17" s="566">
        <v>2</v>
      </c>
    </row>
    <row r="18" spans="2:9" s="77" customFormat="1" ht="12">
      <c r="B18" s="558" t="s">
        <v>583</v>
      </c>
      <c r="C18" s="559"/>
      <c r="D18" s="621">
        <v>6</v>
      </c>
      <c r="E18" s="627"/>
      <c r="F18" s="567"/>
      <c r="G18" s="621">
        <v>6</v>
      </c>
      <c r="H18" s="627"/>
      <c r="I18" s="567"/>
    </row>
    <row r="19" spans="2:9" s="77" customFormat="1" ht="12">
      <c r="B19" s="561"/>
      <c r="C19" s="562"/>
      <c r="D19" s="622"/>
      <c r="E19" s="629"/>
      <c r="F19" s="560"/>
      <c r="G19" s="622"/>
      <c r="H19" s="629"/>
      <c r="I19" s="560"/>
    </row>
    <row r="20" spans="2:9" s="77" customFormat="1" ht="12">
      <c r="B20" s="558" t="s">
        <v>223</v>
      </c>
      <c r="C20" s="559"/>
      <c r="D20" s="623">
        <f aca="true" t="shared" si="0" ref="D20:I20">SUM(D21:D30)</f>
        <v>26</v>
      </c>
      <c r="E20" s="630">
        <f t="shared" si="0"/>
        <v>0.5</v>
      </c>
      <c r="F20" s="616">
        <f t="shared" si="0"/>
        <v>23</v>
      </c>
      <c r="G20" s="623">
        <f t="shared" si="0"/>
        <v>25</v>
      </c>
      <c r="H20" s="630">
        <f t="shared" si="0"/>
        <v>0.5</v>
      </c>
      <c r="I20" s="616">
        <f t="shared" si="0"/>
        <v>23</v>
      </c>
    </row>
    <row r="21" spans="2:9" s="77" customFormat="1" ht="12">
      <c r="B21" s="561" t="s">
        <v>323</v>
      </c>
      <c r="C21" s="562"/>
      <c r="D21" s="624">
        <v>1</v>
      </c>
      <c r="E21" s="631"/>
      <c r="F21" s="560">
        <v>22</v>
      </c>
      <c r="G21" s="624">
        <v>1</v>
      </c>
      <c r="H21" s="631"/>
      <c r="I21" s="560">
        <v>22</v>
      </c>
    </row>
    <row r="22" spans="2:9" s="77" customFormat="1" ht="12">
      <c r="B22" s="561" t="s">
        <v>325</v>
      </c>
      <c r="C22" s="562"/>
      <c r="D22" s="620">
        <v>5</v>
      </c>
      <c r="E22" s="627"/>
      <c r="F22" s="560"/>
      <c r="G22" s="620">
        <v>5</v>
      </c>
      <c r="H22" s="627"/>
      <c r="I22" s="560"/>
    </row>
    <row r="23" spans="2:9" s="77" customFormat="1" ht="12">
      <c r="B23" s="561" t="s">
        <v>327</v>
      </c>
      <c r="C23" s="562"/>
      <c r="D23" s="620">
        <v>4</v>
      </c>
      <c r="E23" s="627"/>
      <c r="F23" s="560">
        <v>1</v>
      </c>
      <c r="G23" s="620">
        <v>4</v>
      </c>
      <c r="H23" s="627"/>
      <c r="I23" s="560">
        <v>1</v>
      </c>
    </row>
    <row r="24" spans="2:9" s="77" customFormat="1" ht="12">
      <c r="B24" s="561" t="s">
        <v>326</v>
      </c>
      <c r="C24" s="562"/>
      <c r="D24" s="620">
        <v>3</v>
      </c>
      <c r="E24" s="627"/>
      <c r="F24" s="560"/>
      <c r="G24" s="620">
        <v>3</v>
      </c>
      <c r="H24" s="627"/>
      <c r="I24" s="560"/>
    </row>
    <row r="25" spans="2:9" s="77" customFormat="1" ht="12">
      <c r="B25" s="561" t="s">
        <v>128</v>
      </c>
      <c r="C25" s="562"/>
      <c r="D25" s="620">
        <v>2</v>
      </c>
      <c r="E25" s="627">
        <v>0.5</v>
      </c>
      <c r="F25" s="560"/>
      <c r="G25" s="620">
        <v>2</v>
      </c>
      <c r="H25" s="627">
        <v>0.5</v>
      </c>
      <c r="I25" s="560"/>
    </row>
    <row r="26" spans="2:9" s="77" customFormat="1" ht="12">
      <c r="B26" s="561" t="s">
        <v>329</v>
      </c>
      <c r="C26" s="562" t="s">
        <v>435</v>
      </c>
      <c r="D26" s="620">
        <v>3</v>
      </c>
      <c r="E26" s="627"/>
      <c r="F26" s="560"/>
      <c r="G26" s="620">
        <v>2</v>
      </c>
      <c r="H26" s="627"/>
      <c r="I26" s="560"/>
    </row>
    <row r="27" spans="2:9" s="77" customFormat="1" ht="12" customHeight="1" hidden="1">
      <c r="B27" s="561" t="s">
        <v>573</v>
      </c>
      <c r="C27" s="562"/>
      <c r="D27" s="620"/>
      <c r="E27" s="627"/>
      <c r="F27" s="560"/>
      <c r="G27" s="620"/>
      <c r="H27" s="627"/>
      <c r="I27" s="560"/>
    </row>
    <row r="28" spans="2:9" s="77" customFormat="1" ht="12">
      <c r="B28" s="561" t="s">
        <v>553</v>
      </c>
      <c r="C28" s="562" t="s">
        <v>409</v>
      </c>
      <c r="D28" s="620">
        <v>8</v>
      </c>
      <c r="E28" s="627"/>
      <c r="F28" s="563"/>
      <c r="G28" s="620">
        <v>8</v>
      </c>
      <c r="H28" s="627"/>
      <c r="I28" s="563"/>
    </row>
    <row r="29" spans="2:9" s="77" customFormat="1" ht="12" customHeight="1">
      <c r="B29" s="561" t="s">
        <v>585</v>
      </c>
      <c r="C29" s="562" t="s">
        <v>425</v>
      </c>
      <c r="D29" s="620"/>
      <c r="E29" s="627"/>
      <c r="F29" s="563"/>
      <c r="G29" s="620"/>
      <c r="H29" s="627"/>
      <c r="I29" s="563"/>
    </row>
    <row r="30" spans="2:9" s="77" customFormat="1" ht="12">
      <c r="B30" s="561"/>
      <c r="C30" s="562"/>
      <c r="D30" s="620"/>
      <c r="E30" s="627"/>
      <c r="F30" s="563"/>
      <c r="G30" s="620"/>
      <c r="H30" s="627"/>
      <c r="I30" s="563"/>
    </row>
    <row r="31" spans="2:9" s="77" customFormat="1" ht="12">
      <c r="B31" s="561"/>
      <c r="C31" s="562"/>
      <c r="D31" s="620"/>
      <c r="E31" s="627"/>
      <c r="F31" s="563"/>
      <c r="G31" s="620"/>
      <c r="H31" s="627"/>
      <c r="I31" s="563"/>
    </row>
    <row r="32" spans="2:9" s="8" customFormat="1" ht="12">
      <c r="B32" s="558" t="s">
        <v>235</v>
      </c>
      <c r="C32" s="559"/>
      <c r="D32" s="621">
        <v>76</v>
      </c>
      <c r="E32" s="628"/>
      <c r="F32" s="560">
        <v>3</v>
      </c>
      <c r="G32" s="621">
        <v>76</v>
      </c>
      <c r="H32" s="628"/>
      <c r="I32" s="560">
        <v>3</v>
      </c>
    </row>
    <row r="33" spans="2:9" s="77" customFormat="1" ht="12">
      <c r="B33" s="561" t="s">
        <v>697</v>
      </c>
      <c r="C33" s="562"/>
      <c r="D33" s="620">
        <v>42</v>
      </c>
      <c r="E33" s="627"/>
      <c r="F33" s="563"/>
      <c r="G33" s="620">
        <v>42</v>
      </c>
      <c r="H33" s="627"/>
      <c r="I33" s="563"/>
    </row>
    <row r="34" spans="2:9" s="77" customFormat="1" ht="12">
      <c r="B34" s="561" t="s">
        <v>698</v>
      </c>
      <c r="C34" s="562"/>
      <c r="D34" s="620">
        <v>16</v>
      </c>
      <c r="E34" s="627"/>
      <c r="F34" s="563">
        <v>1</v>
      </c>
      <c r="G34" s="620">
        <v>16</v>
      </c>
      <c r="H34" s="627"/>
      <c r="I34" s="563">
        <v>1</v>
      </c>
    </row>
    <row r="35" spans="2:9" s="77" customFormat="1" ht="12">
      <c r="B35" s="561" t="s">
        <v>695</v>
      </c>
      <c r="C35" s="562"/>
      <c r="D35" s="620">
        <v>9</v>
      </c>
      <c r="E35" s="627"/>
      <c r="F35" s="563">
        <v>1</v>
      </c>
      <c r="G35" s="620">
        <v>9</v>
      </c>
      <c r="H35" s="627"/>
      <c r="I35" s="563">
        <v>1</v>
      </c>
    </row>
    <row r="36" spans="2:9" s="77" customFormat="1" ht="12">
      <c r="B36" s="561" t="s">
        <v>584</v>
      </c>
      <c r="C36" s="562"/>
      <c r="D36" s="620">
        <v>2</v>
      </c>
      <c r="E36" s="627"/>
      <c r="F36" s="563"/>
      <c r="G36" s="620">
        <v>2</v>
      </c>
      <c r="H36" s="627"/>
      <c r="I36" s="563"/>
    </row>
    <row r="37" spans="2:9" s="77" customFormat="1" ht="12">
      <c r="B37" s="561" t="s">
        <v>696</v>
      </c>
      <c r="C37" s="562"/>
      <c r="D37" s="620">
        <v>6</v>
      </c>
      <c r="E37" s="627"/>
      <c r="F37" s="563">
        <v>1</v>
      </c>
      <c r="G37" s="620">
        <v>6</v>
      </c>
      <c r="H37" s="627"/>
      <c r="I37" s="563">
        <v>1</v>
      </c>
    </row>
    <row r="38" spans="2:9" s="77" customFormat="1" ht="12">
      <c r="B38" s="561"/>
      <c r="C38" s="562"/>
      <c r="D38" s="620"/>
      <c r="E38" s="627"/>
      <c r="F38" s="560"/>
      <c r="G38" s="620"/>
      <c r="H38" s="627"/>
      <c r="I38" s="560"/>
    </row>
    <row r="39" spans="2:9" s="8" customFormat="1" ht="12">
      <c r="B39" s="568" t="s">
        <v>361</v>
      </c>
      <c r="C39" s="569"/>
      <c r="D39" s="625">
        <f aca="true" t="shared" si="1" ref="D39:I39">SUM(D40:D44)</f>
        <v>23</v>
      </c>
      <c r="E39" s="628">
        <f t="shared" si="1"/>
        <v>0</v>
      </c>
      <c r="F39" s="570">
        <f t="shared" si="1"/>
        <v>0</v>
      </c>
      <c r="G39" s="625">
        <f t="shared" si="1"/>
        <v>24</v>
      </c>
      <c r="H39" s="628">
        <f t="shared" si="1"/>
        <v>0</v>
      </c>
      <c r="I39" s="570">
        <f t="shared" si="1"/>
        <v>0</v>
      </c>
    </row>
    <row r="40" spans="2:9" s="77" customFormat="1" ht="12">
      <c r="B40" s="561" t="s">
        <v>326</v>
      </c>
      <c r="C40" s="562"/>
      <c r="D40" s="620">
        <v>5</v>
      </c>
      <c r="E40" s="627"/>
      <c r="F40" s="560"/>
      <c r="G40" s="620">
        <v>5</v>
      </c>
      <c r="H40" s="627"/>
      <c r="I40" s="560"/>
    </row>
    <row r="41" spans="2:9" s="77" customFormat="1" ht="12">
      <c r="B41" s="561" t="s">
        <v>327</v>
      </c>
      <c r="C41" s="562" t="s">
        <v>412</v>
      </c>
      <c r="D41" s="620">
        <v>8</v>
      </c>
      <c r="E41" s="627"/>
      <c r="F41" s="560"/>
      <c r="G41" s="620">
        <v>9</v>
      </c>
      <c r="H41" s="627"/>
      <c r="I41" s="560"/>
    </row>
    <row r="42" spans="2:9" s="77" customFormat="1" ht="12">
      <c r="B42" s="561" t="s">
        <v>328</v>
      </c>
      <c r="C42" s="562"/>
      <c r="D42" s="620">
        <v>1</v>
      </c>
      <c r="E42" s="627"/>
      <c r="F42" s="560"/>
      <c r="G42" s="620">
        <v>1</v>
      </c>
      <c r="H42" s="627"/>
      <c r="I42" s="560"/>
    </row>
    <row r="43" spans="2:9" s="77" customFormat="1" ht="12">
      <c r="B43" s="561" t="s">
        <v>330</v>
      </c>
      <c r="C43" s="562"/>
      <c r="D43" s="620">
        <v>2</v>
      </c>
      <c r="E43" s="627"/>
      <c r="F43" s="560"/>
      <c r="G43" s="620">
        <v>2</v>
      </c>
      <c r="H43" s="627"/>
      <c r="I43" s="560"/>
    </row>
    <row r="44" spans="2:9" s="77" customFormat="1" ht="12">
      <c r="B44" s="561" t="s">
        <v>324</v>
      </c>
      <c r="C44" s="562"/>
      <c r="D44" s="620">
        <v>7</v>
      </c>
      <c r="E44" s="627"/>
      <c r="F44" s="560"/>
      <c r="G44" s="620">
        <v>7</v>
      </c>
      <c r="H44" s="627"/>
      <c r="I44" s="560"/>
    </row>
    <row r="45" spans="2:9" s="77" customFormat="1" ht="12.75" thickBot="1">
      <c r="B45" s="571"/>
      <c r="C45" s="572"/>
      <c r="D45" s="622"/>
      <c r="E45" s="632"/>
      <c r="F45" s="573"/>
      <c r="G45" s="622"/>
      <c r="H45" s="632"/>
      <c r="I45" s="573"/>
    </row>
    <row r="46" spans="2:9" s="77" customFormat="1" ht="12.75" thickBot="1">
      <c r="B46" s="449" t="s">
        <v>87</v>
      </c>
      <c r="C46" s="450"/>
      <c r="D46" s="633">
        <f aca="true" t="shared" si="2" ref="D46:I46">D13+D15+D17+D20+D32+D39+D18</f>
        <v>203</v>
      </c>
      <c r="E46" s="633">
        <f t="shared" si="2"/>
        <v>2.75</v>
      </c>
      <c r="F46" s="617">
        <f t="shared" si="2"/>
        <v>30</v>
      </c>
      <c r="G46" s="633">
        <f t="shared" si="2"/>
        <v>203</v>
      </c>
      <c r="H46" s="633">
        <f t="shared" si="2"/>
        <v>2.75</v>
      </c>
      <c r="I46" s="617">
        <f t="shared" si="2"/>
        <v>30</v>
      </c>
    </row>
    <row r="47" spans="2:3" s="92" customFormat="1" ht="12.75">
      <c r="B47" s="451"/>
      <c r="C47" s="451"/>
    </row>
    <row r="48" spans="2:6" s="92" customFormat="1" ht="12.75" customHeight="1">
      <c r="B48" s="1281"/>
      <c r="C48" s="1281"/>
      <c r="D48" s="1281"/>
      <c r="E48" s="1281"/>
      <c r="F48" s="1281"/>
    </row>
    <row r="49" spans="2:6" s="92" customFormat="1" ht="6" customHeight="1">
      <c r="B49" s="452"/>
      <c r="C49" s="452"/>
      <c r="D49" s="452"/>
      <c r="E49" s="452"/>
      <c r="F49" s="452"/>
    </row>
    <row r="50" spans="2:6" s="92" customFormat="1" ht="12.75">
      <c r="B50" s="1280" t="s">
        <v>682</v>
      </c>
      <c r="C50" s="1280"/>
      <c r="D50" s="1280"/>
      <c r="E50" s="1280"/>
      <c r="F50" s="1280"/>
    </row>
    <row r="51" spans="2:6" s="92" customFormat="1" ht="12.75">
      <c r="B51" s="1280"/>
      <c r="C51" s="1280"/>
      <c r="D51" s="1280"/>
      <c r="E51" s="1280"/>
      <c r="F51" s="1280"/>
    </row>
    <row r="52" spans="2:6" s="92" customFormat="1" ht="6.75" customHeight="1">
      <c r="B52" s="452"/>
      <c r="C52" s="452"/>
      <c r="D52" s="452"/>
      <c r="E52" s="452"/>
      <c r="F52" s="452"/>
    </row>
    <row r="53" spans="2:6" s="92" customFormat="1" ht="12.75">
      <c r="B53" s="1280" t="s">
        <v>826</v>
      </c>
      <c r="C53" s="1280"/>
      <c r="D53" s="1280"/>
      <c r="E53" s="1280"/>
      <c r="F53" s="1280"/>
    </row>
    <row r="54" spans="2:6" s="92" customFormat="1" ht="5.25" customHeight="1">
      <c r="B54" s="452"/>
      <c r="C54" s="452"/>
      <c r="D54" s="452"/>
      <c r="E54" s="452"/>
      <c r="F54" s="452"/>
    </row>
    <row r="55" spans="2:6" s="92" customFormat="1" ht="12.75">
      <c r="B55" s="1280" t="s">
        <v>875</v>
      </c>
      <c r="C55" s="1280"/>
      <c r="D55" s="1280"/>
      <c r="E55" s="1280"/>
      <c r="F55" s="1280"/>
    </row>
    <row r="56" spans="2:6" s="92" customFormat="1" ht="11.25" customHeight="1">
      <c r="B56" s="523"/>
      <c r="C56" s="452"/>
      <c r="D56" s="452"/>
      <c r="E56" s="452"/>
      <c r="F56" s="452"/>
    </row>
    <row r="57" spans="2:6" s="92" customFormat="1" ht="12.75">
      <c r="B57" s="1280" t="s">
        <v>874</v>
      </c>
      <c r="C57" s="1280"/>
      <c r="D57" s="1280"/>
      <c r="E57" s="1280"/>
      <c r="F57" s="1280"/>
    </row>
    <row r="58" ht="12.75">
      <c r="B58" s="92"/>
    </row>
    <row r="59" ht="12.75">
      <c r="B59" s="92" t="s">
        <v>876</v>
      </c>
    </row>
    <row r="61" ht="12.75">
      <c r="B61" s="92"/>
    </row>
  </sheetData>
  <sheetProtection/>
  <mergeCells count="17">
    <mergeCell ref="G10:H10"/>
    <mergeCell ref="I10:I12"/>
    <mergeCell ref="G11:G12"/>
    <mergeCell ref="H11:H12"/>
    <mergeCell ref="B5:F5"/>
    <mergeCell ref="B10:B12"/>
    <mergeCell ref="D10:E10"/>
    <mergeCell ref="F10:F12"/>
    <mergeCell ref="C11:C12"/>
    <mergeCell ref="E11:E12"/>
    <mergeCell ref="D11:D12"/>
    <mergeCell ref="B55:F55"/>
    <mergeCell ref="B57:F57"/>
    <mergeCell ref="B48:F48"/>
    <mergeCell ref="B51:F51"/>
    <mergeCell ref="B50:F50"/>
    <mergeCell ref="B53:F53"/>
  </mergeCells>
  <printOptions horizontalCentered="1"/>
  <pageMargins left="0.15748031496062992" right="0.35433070866141736" top="0.15748031496062992" bottom="0.3937007874015748" header="0.15748031496062992" footer="0.3937007874015748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1.875" style="13" customWidth="1"/>
    <col min="2" max="2" width="42.75390625" style="13" bestFit="1" customWidth="1"/>
    <col min="3" max="3" width="14.75390625" style="13" customWidth="1"/>
    <col min="4" max="6" width="12.875" style="13" customWidth="1"/>
    <col min="7" max="16384" width="9.125" style="13" customWidth="1"/>
  </cols>
  <sheetData>
    <row r="1" spans="2:3" ht="12.75">
      <c r="B1" s="12" t="s">
        <v>102</v>
      </c>
      <c r="C1" s="13" t="str">
        <f>'bev-int'!B1</f>
        <v>melléklet a …/2024. (III.  .) önkormányzati rendelethez</v>
      </c>
    </row>
    <row r="2" ht="12.75">
      <c r="B2" s="12"/>
    </row>
    <row r="3" ht="12.75">
      <c r="B3" s="12"/>
    </row>
    <row r="4" spans="2:6" ht="33.75" customHeight="1">
      <c r="B4" s="1295" t="s">
        <v>387</v>
      </c>
      <c r="C4" s="1295"/>
      <c r="D4" s="1295"/>
      <c r="E4" s="1295"/>
      <c r="F4" s="1295"/>
    </row>
    <row r="5" spans="2:5" ht="12.75">
      <c r="B5" s="1157"/>
      <c r="C5" s="1157"/>
      <c r="D5" s="1157"/>
      <c r="E5" s="1157"/>
    </row>
    <row r="6" spans="2:6" ht="12.75">
      <c r="B6" s="94"/>
      <c r="C6" s="94"/>
      <c r="D6" s="94"/>
      <c r="E6" s="94"/>
      <c r="F6" s="94"/>
    </row>
    <row r="7" spans="2:6" ht="12.75">
      <c r="B7" s="94"/>
      <c r="C7" s="94"/>
      <c r="D7" s="94"/>
      <c r="E7" s="94"/>
      <c r="F7" s="94"/>
    </row>
    <row r="8" s="115" customFormat="1" ht="12.75" thickBot="1">
      <c r="F8" s="115" t="s">
        <v>72</v>
      </c>
    </row>
    <row r="9" spans="2:6" s="115" customFormat="1" ht="60.75" customHeight="1" thickBot="1">
      <c r="B9" s="146" t="s">
        <v>55</v>
      </c>
      <c r="C9" s="147" t="s">
        <v>544</v>
      </c>
      <c r="D9" s="147" t="s">
        <v>600</v>
      </c>
      <c r="E9" s="147" t="s">
        <v>687</v>
      </c>
      <c r="F9" s="147" t="s">
        <v>720</v>
      </c>
    </row>
    <row r="10" spans="2:6" s="115" customFormat="1" ht="12">
      <c r="B10" s="148" t="s">
        <v>307</v>
      </c>
      <c r="C10" s="929">
        <f>(b_k_ré!J45+b_k_ré!J48+b_k_ré!J51+b_k_ré!J54)/1000</f>
        <v>513589.134</v>
      </c>
      <c r="D10" s="929">
        <v>500000</v>
      </c>
      <c r="E10" s="930">
        <v>510000</v>
      </c>
      <c r="F10" s="930">
        <v>520000</v>
      </c>
    </row>
    <row r="11" spans="2:6" s="115" customFormat="1" ht="12">
      <c r="B11" s="149" t="s">
        <v>308</v>
      </c>
      <c r="C11" s="931">
        <f>b_k_ré!D78/1000</f>
        <v>247.328</v>
      </c>
      <c r="D11" s="931">
        <v>250</v>
      </c>
      <c r="E11" s="932">
        <v>250</v>
      </c>
      <c r="F11" s="932">
        <v>250</v>
      </c>
    </row>
    <row r="12" spans="2:6" s="115" customFormat="1" ht="12">
      <c r="B12" s="149" t="s">
        <v>309</v>
      </c>
      <c r="C12" s="931">
        <f>b_k_ré!J59/1000</f>
        <v>2630.472</v>
      </c>
      <c r="D12" s="931">
        <v>2500</v>
      </c>
      <c r="E12" s="932">
        <v>2600</v>
      </c>
      <c r="F12" s="932">
        <v>2600</v>
      </c>
    </row>
    <row r="13" spans="2:6" s="115" customFormat="1" ht="12">
      <c r="B13" s="150" t="s">
        <v>310</v>
      </c>
      <c r="C13" s="933">
        <f>b_k_ré!J58/1000</f>
        <v>743.059</v>
      </c>
      <c r="D13" s="933">
        <v>700</v>
      </c>
      <c r="E13" s="934">
        <v>700</v>
      </c>
      <c r="F13" s="934">
        <v>600</v>
      </c>
    </row>
    <row r="14" spans="2:6" s="115" customFormat="1" ht="30.75" customHeight="1">
      <c r="B14" s="150" t="s">
        <v>311</v>
      </c>
      <c r="C14" s="933">
        <f>b_k_ré!D68/1000</f>
        <v>95809.493</v>
      </c>
      <c r="D14" s="933">
        <v>85000</v>
      </c>
      <c r="E14" s="934">
        <v>87000</v>
      </c>
      <c r="F14" s="934">
        <v>90000</v>
      </c>
    </row>
    <row r="15" spans="2:6" s="115" customFormat="1" ht="31.5" customHeight="1">
      <c r="B15" s="150" t="s">
        <v>312</v>
      </c>
      <c r="C15" s="933">
        <f>b_k_ré!D72/1000</f>
        <v>38544.904</v>
      </c>
      <c r="D15" s="933">
        <v>40000</v>
      </c>
      <c r="E15" s="934">
        <v>42000</v>
      </c>
      <c r="F15" s="934">
        <v>44000</v>
      </c>
    </row>
    <row r="16" spans="2:6" s="115" customFormat="1" ht="60" customHeight="1">
      <c r="B16" s="149" t="s">
        <v>314</v>
      </c>
      <c r="C16" s="931">
        <f>b_k_ré!D88/1000</f>
        <v>475.213</v>
      </c>
      <c r="D16" s="931">
        <v>0</v>
      </c>
      <c r="E16" s="932">
        <v>0</v>
      </c>
      <c r="F16" s="932">
        <v>0</v>
      </c>
    </row>
    <row r="17" spans="2:6" s="115" customFormat="1" ht="12">
      <c r="B17" s="149" t="s">
        <v>315</v>
      </c>
      <c r="C17" s="931">
        <f>SUM(C10:C16)</f>
        <v>652039.603</v>
      </c>
      <c r="D17" s="931">
        <f>SUM(D10:D16)</f>
        <v>628450</v>
      </c>
      <c r="E17" s="932">
        <f>SUM(E10:E16)</f>
        <v>642550</v>
      </c>
      <c r="F17" s="932">
        <f>SUM(F10:F16)</f>
        <v>657450</v>
      </c>
    </row>
    <row r="18" spans="2:6" s="115" customFormat="1" ht="12">
      <c r="B18" s="149" t="s">
        <v>316</v>
      </c>
      <c r="C18" s="931">
        <f>C17/2</f>
        <v>326019.8015</v>
      </c>
      <c r="D18" s="931">
        <f>D17/2</f>
        <v>314225</v>
      </c>
      <c r="E18" s="932">
        <f>E17/2</f>
        <v>321275</v>
      </c>
      <c r="F18" s="932">
        <f>F17/2</f>
        <v>328725</v>
      </c>
    </row>
    <row r="19" spans="2:6" s="115" customFormat="1" ht="33" customHeight="1">
      <c r="B19" s="149" t="s">
        <v>317</v>
      </c>
      <c r="C19" s="931">
        <v>0</v>
      </c>
      <c r="D19" s="931">
        <v>0</v>
      </c>
      <c r="E19" s="932">
        <v>0</v>
      </c>
      <c r="F19" s="932">
        <v>0</v>
      </c>
    </row>
    <row r="20" spans="2:6" s="115" customFormat="1" ht="24">
      <c r="B20" s="150" t="s">
        <v>318</v>
      </c>
      <c r="C20" s="931">
        <v>0</v>
      </c>
      <c r="D20" s="931">
        <v>0</v>
      </c>
      <c r="E20" s="932">
        <v>0</v>
      </c>
      <c r="F20" s="932">
        <v>0</v>
      </c>
    </row>
    <row r="21" spans="2:6" s="115" customFormat="1" ht="30.75" customHeight="1" thickBot="1">
      <c r="B21" s="151" t="s">
        <v>319</v>
      </c>
      <c r="C21" s="935">
        <v>0</v>
      </c>
      <c r="D21" s="935">
        <v>0</v>
      </c>
      <c r="E21" s="936">
        <v>0</v>
      </c>
      <c r="F21" s="936">
        <v>0</v>
      </c>
    </row>
    <row r="22" spans="2:6" s="115" customFormat="1" ht="27.75" customHeight="1" thickBot="1">
      <c r="B22" s="153" t="s">
        <v>320</v>
      </c>
      <c r="C22" s="937">
        <v>0</v>
      </c>
      <c r="D22" s="937">
        <f>D19+D21</f>
        <v>0</v>
      </c>
      <c r="E22" s="938">
        <f>E19+E21</f>
        <v>0</v>
      </c>
      <c r="F22" s="938">
        <f>F19+F21</f>
        <v>0</v>
      </c>
    </row>
    <row r="23" spans="2:6" s="115" customFormat="1" ht="24.75" thickBot="1">
      <c r="B23" s="152" t="s">
        <v>321</v>
      </c>
      <c r="C23" s="939">
        <f>C18-C22</f>
        <v>326019.8015</v>
      </c>
      <c r="D23" s="939">
        <f>D18-D22</f>
        <v>314225</v>
      </c>
      <c r="E23" s="940">
        <f>E18-E22</f>
        <v>321275</v>
      </c>
      <c r="F23" s="940">
        <f>F18-F22</f>
        <v>328725</v>
      </c>
    </row>
    <row r="24" spans="3:6" s="77" customFormat="1" ht="12">
      <c r="C24" s="186"/>
      <c r="D24" s="186"/>
      <c r="E24" s="186"/>
      <c r="F24" s="186"/>
    </row>
    <row r="25" spans="3:6" s="77" customFormat="1" ht="12">
      <c r="C25" s="186"/>
      <c r="D25" s="186"/>
      <c r="E25" s="186"/>
      <c r="F25" s="186"/>
    </row>
    <row r="26" s="77" customFormat="1" ht="12"/>
    <row r="27" s="77" customFormat="1" ht="12"/>
    <row r="28" s="77" customFormat="1" ht="12"/>
    <row r="29" s="77" customFormat="1" ht="12"/>
    <row r="30" s="77" customFormat="1" ht="12"/>
    <row r="31" s="77" customFormat="1" ht="12"/>
    <row r="32" s="77" customFormat="1" ht="12"/>
    <row r="33" s="77" customFormat="1" ht="12"/>
    <row r="34" s="77" customFormat="1" ht="12"/>
    <row r="35" s="77" customFormat="1" ht="12"/>
    <row r="36" s="77" customFormat="1" ht="12"/>
    <row r="37" s="77" customFormat="1" ht="12"/>
    <row r="38" s="77" customFormat="1" ht="12"/>
    <row r="39" s="77" customFormat="1" ht="12"/>
    <row r="40" s="77" customFormat="1" ht="12"/>
    <row r="41" s="77" customFormat="1" ht="12"/>
    <row r="42" s="77" customFormat="1" ht="12"/>
    <row r="43" s="77" customFormat="1" ht="12"/>
    <row r="44" s="77" customFormat="1" ht="12"/>
    <row r="45" s="77" customFormat="1" ht="12"/>
    <row r="46" s="77" customFormat="1" ht="12"/>
    <row r="47" s="77" customFormat="1" ht="12"/>
    <row r="48" s="77" customFormat="1" ht="12"/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  <row r="57" s="77" customFormat="1" ht="12"/>
    <row r="58" s="77" customFormat="1" ht="12"/>
    <row r="59" s="77" customFormat="1" ht="12"/>
    <row r="60" s="77" customFormat="1" ht="12"/>
    <row r="61" s="77" customFormat="1" ht="12"/>
    <row r="62" s="77" customFormat="1" ht="12"/>
    <row r="63" s="77" customFormat="1" ht="12"/>
    <row r="64" s="77" customFormat="1" ht="12"/>
    <row r="65" s="77" customFormat="1" ht="12"/>
    <row r="66" s="77" customFormat="1" ht="12"/>
    <row r="67" s="77" customFormat="1" ht="12"/>
  </sheetData>
  <sheetProtection/>
  <mergeCells count="2">
    <mergeCell ref="B5:E5"/>
    <mergeCell ref="B4:F4"/>
  </mergeCells>
  <printOptions horizontalCentered="1"/>
  <pageMargins left="0.17" right="0.43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4.25390625" style="2" customWidth="1"/>
    <col min="2" max="2" width="15.75390625" style="2" customWidth="1"/>
    <col min="3" max="3" width="34.25390625" style="2" customWidth="1"/>
    <col min="4" max="5" width="15.75390625" style="2" customWidth="1"/>
    <col min="6" max="16384" width="9.125" style="2" customWidth="1"/>
  </cols>
  <sheetData>
    <row r="1" spans="1:2" ht="12.75">
      <c r="A1" s="1" t="s">
        <v>103</v>
      </c>
      <c r="B1" s="2" t="str">
        <f>'bev-int'!B1</f>
        <v>melléklet a …/2024. (III.  .) önkormányzati rendelethez</v>
      </c>
    </row>
    <row r="3" spans="1:3" ht="12.75">
      <c r="A3" s="1161"/>
      <c r="B3" s="1161"/>
      <c r="C3" s="1161"/>
    </row>
    <row r="4" spans="1:3" ht="12.75">
      <c r="A4" s="99"/>
      <c r="B4" s="99"/>
      <c r="C4" s="99"/>
    </row>
    <row r="5" spans="1:5" ht="12.75">
      <c r="A5" s="1161" t="s">
        <v>721</v>
      </c>
      <c r="B5" s="1161"/>
      <c r="C5" s="1161"/>
      <c r="D5" s="1161"/>
      <c r="E5" s="1161"/>
    </row>
    <row r="6" spans="1:3" ht="12.75">
      <c r="A6" s="1161"/>
      <c r="B6" s="1161"/>
      <c r="C6" s="1161"/>
    </row>
    <row r="8" ht="12.75">
      <c r="E8" s="585" t="s">
        <v>705</v>
      </c>
    </row>
    <row r="9" spans="1:5" ht="26.25" customHeight="1">
      <c r="A9" s="102" t="s">
        <v>55</v>
      </c>
      <c r="B9" s="102" t="s">
        <v>80</v>
      </c>
      <c r="C9" s="102" t="s">
        <v>55</v>
      </c>
      <c r="D9" s="102" t="s">
        <v>80</v>
      </c>
      <c r="E9" s="102" t="s">
        <v>79</v>
      </c>
    </row>
    <row r="10" spans="1:5" ht="13.5" customHeight="1">
      <c r="A10" s="102"/>
      <c r="B10" s="102"/>
      <c r="C10" s="102"/>
      <c r="D10" s="102"/>
      <c r="E10" s="102"/>
    </row>
    <row r="11" spans="1:5" ht="12.75">
      <c r="A11" s="103" t="s">
        <v>61</v>
      </c>
      <c r="B11" s="103">
        <f>'bev-int'!C31</f>
        <v>3452995009.6</v>
      </c>
      <c r="C11" s="103" t="s">
        <v>66</v>
      </c>
      <c r="D11" s="103">
        <f>'kiad-int'!C22</f>
        <v>6548851797</v>
      </c>
      <c r="E11" s="103"/>
    </row>
    <row r="12" spans="1:5" ht="12.75">
      <c r="A12" s="103"/>
      <c r="B12" s="103"/>
      <c r="C12" s="103"/>
      <c r="D12" s="103"/>
      <c r="E12" s="103"/>
    </row>
    <row r="13" spans="1:5" ht="12.75">
      <c r="A13" s="1296" t="s">
        <v>88</v>
      </c>
      <c r="B13" s="1296"/>
      <c r="C13" s="1296"/>
      <c r="D13" s="1296"/>
      <c r="E13" s="103">
        <f>B11-D11</f>
        <v>-3095856787.4</v>
      </c>
    </row>
    <row r="14" spans="1:5" ht="12.75">
      <c r="A14" s="103"/>
      <c r="B14" s="103"/>
      <c r="C14" s="103"/>
      <c r="D14" s="103"/>
      <c r="E14" s="103"/>
    </row>
    <row r="15" spans="1:8" s="18" customFormat="1" ht="12.75">
      <c r="A15" s="103" t="s">
        <v>81</v>
      </c>
      <c r="B15" s="103">
        <f>'bev-int'!C42</f>
        <v>4340106638</v>
      </c>
      <c r="C15" s="103" t="s">
        <v>77</v>
      </c>
      <c r="D15" s="103">
        <f>'kiad-int'!C32</f>
        <v>1244249851</v>
      </c>
      <c r="E15" s="103"/>
      <c r="F15" s="21"/>
      <c r="G15" s="21"/>
      <c r="H15" s="21"/>
    </row>
    <row r="16" spans="1:8" ht="12.75">
      <c r="A16" s="103"/>
      <c r="B16" s="103"/>
      <c r="C16" s="103"/>
      <c r="D16" s="103"/>
      <c r="E16" s="103"/>
      <c r="F16" s="19"/>
      <c r="G16" s="19"/>
      <c r="H16" s="19"/>
    </row>
    <row r="17" spans="1:8" s="18" customFormat="1" ht="12.75">
      <c r="A17" s="103"/>
      <c r="B17" s="103"/>
      <c r="C17" s="1298" t="s">
        <v>89</v>
      </c>
      <c r="D17" s="1299"/>
      <c r="E17" s="103">
        <f>B15-D15</f>
        <v>3095856787</v>
      </c>
      <c r="F17" s="21"/>
      <c r="G17" s="21"/>
      <c r="H17" s="21"/>
    </row>
    <row r="18" spans="1:8" s="18" customFormat="1" ht="12.75">
      <c r="A18" s="103"/>
      <c r="B18" s="103"/>
      <c r="C18" s="104"/>
      <c r="D18" s="105"/>
      <c r="E18" s="103"/>
      <c r="F18" s="21"/>
      <c r="G18" s="21"/>
      <c r="H18" s="21"/>
    </row>
    <row r="19" spans="1:8" ht="12.75">
      <c r="A19" s="103" t="s">
        <v>90</v>
      </c>
      <c r="B19" s="103">
        <f>'bev-int'!C43</f>
        <v>7793101647.6</v>
      </c>
      <c r="C19" s="103" t="s">
        <v>83</v>
      </c>
      <c r="D19" s="103">
        <f>'kiad-int'!C33</f>
        <v>7793101648</v>
      </c>
      <c r="E19" s="103"/>
      <c r="F19" s="19"/>
      <c r="G19" s="19"/>
      <c r="H19" s="19"/>
    </row>
    <row r="20" spans="1:8" ht="12.75">
      <c r="A20" s="103"/>
      <c r="B20" s="103"/>
      <c r="C20" s="103"/>
      <c r="D20" s="187"/>
      <c r="E20" s="103"/>
      <c r="F20" s="19"/>
      <c r="G20" s="19"/>
      <c r="H20" s="19"/>
    </row>
    <row r="21" spans="1:8" ht="12.75">
      <c r="A21" s="1297" t="s">
        <v>79</v>
      </c>
      <c r="B21" s="1297"/>
      <c r="C21" s="1297"/>
      <c r="D21" s="1297"/>
      <c r="E21" s="103">
        <f>B19-D19</f>
        <v>-0.39999961853027344</v>
      </c>
      <c r="F21" s="19"/>
      <c r="G21" s="19"/>
      <c r="H21" s="19"/>
    </row>
    <row r="22" spans="1:8" ht="12.75">
      <c r="A22" s="106"/>
      <c r="B22" s="106"/>
      <c r="C22" s="106"/>
      <c r="D22" s="106"/>
      <c r="E22" s="106"/>
      <c r="F22" s="19"/>
      <c r="G22" s="19"/>
      <c r="H22" s="19"/>
    </row>
    <row r="23" spans="2:8" ht="12.75">
      <c r="B23" s="3"/>
      <c r="C23" s="3"/>
      <c r="D23" s="20"/>
      <c r="E23" s="19"/>
      <c r="F23" s="19"/>
      <c r="G23" s="19"/>
      <c r="H23" s="19"/>
    </row>
    <row r="24" spans="4:8" ht="12.75">
      <c r="D24" s="21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21"/>
      <c r="E26" s="21"/>
      <c r="F26" s="21"/>
      <c r="G26" s="21"/>
      <c r="H26" s="19"/>
    </row>
    <row r="27" spans="4:8" ht="12.75">
      <c r="D27" s="21"/>
      <c r="E27" s="21"/>
      <c r="F27" s="21"/>
      <c r="G27" s="21"/>
      <c r="H27" s="19"/>
    </row>
    <row r="28" spans="4:8" ht="12.75">
      <c r="D28" s="19"/>
      <c r="E28" s="19"/>
      <c r="F28" s="19"/>
      <c r="G28" s="19"/>
      <c r="H28" s="19"/>
    </row>
  </sheetData>
  <sheetProtection/>
  <mergeCells count="6">
    <mergeCell ref="A13:D13"/>
    <mergeCell ref="A21:D21"/>
    <mergeCell ref="A3:C3"/>
    <mergeCell ref="A6:C6"/>
    <mergeCell ref="C17:D17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48">
      <selection activeCell="F63" sqref="F63"/>
    </sheetView>
  </sheetViews>
  <sheetFormatPr defaultColWidth="9.00390625" defaultRowHeight="12.75"/>
  <cols>
    <col min="1" max="1" width="50.125" style="5" bestFit="1" customWidth="1"/>
    <col min="2" max="2" width="9.875" style="5" hidden="1" customWidth="1"/>
    <col min="3" max="3" width="11.875" style="5" customWidth="1"/>
    <col min="4" max="4" width="11.625" style="5" customWidth="1"/>
    <col min="5" max="5" width="9.625" style="5" bestFit="1" customWidth="1"/>
    <col min="6" max="6" width="9.75390625" style="5" customWidth="1"/>
    <col min="7" max="7" width="9.25390625" style="5" bestFit="1" customWidth="1"/>
    <col min="8" max="8" width="10.25390625" style="5" customWidth="1"/>
    <col min="9" max="9" width="9.625" style="5" bestFit="1" customWidth="1"/>
    <col min="10" max="10" width="12.625" style="5" bestFit="1" customWidth="1"/>
    <col min="11" max="11" width="9.125" style="5" customWidth="1"/>
    <col min="12" max="13" width="10.125" style="5" bestFit="1" customWidth="1"/>
    <col min="14" max="16384" width="9.125" style="5" customWidth="1"/>
  </cols>
  <sheetData>
    <row r="1" spans="1:4" ht="15" customHeight="1">
      <c r="A1" s="157"/>
      <c r="C1" s="157" t="s">
        <v>334</v>
      </c>
      <c r="D1" s="5" t="str">
        <f>'bev-int'!B1</f>
        <v>melléklet a …/2024. (III.  .) önkormányzati rendelethez</v>
      </c>
    </row>
    <row r="2" ht="9" customHeight="1">
      <c r="A2" s="157"/>
    </row>
    <row r="3" spans="1:10" ht="16.5" customHeight="1">
      <c r="A3" s="1179" t="s">
        <v>722</v>
      </c>
      <c r="B3" s="1179"/>
      <c r="C3" s="1179"/>
      <c r="D3" s="1179"/>
      <c r="E3" s="1179"/>
      <c r="F3" s="1179"/>
      <c r="G3" s="1179"/>
      <c r="H3" s="1179"/>
      <c r="I3" s="1179"/>
      <c r="J3" s="1179"/>
    </row>
    <row r="4" ht="16.5" customHeight="1" thickBot="1">
      <c r="J4" s="77" t="s">
        <v>705</v>
      </c>
    </row>
    <row r="5" spans="1:10" ht="48.75" thickBot="1">
      <c r="A5" s="199" t="s">
        <v>55</v>
      </c>
      <c r="B5" s="129"/>
      <c r="C5" s="129" t="str">
        <f>'bev-int'!B7</f>
        <v>2023. évi eredeti terv</v>
      </c>
      <c r="D5" s="129" t="str">
        <f>'bev-int'!C7</f>
        <v>2023. évi módosított terv</v>
      </c>
      <c r="E5" s="128" t="str">
        <f>'bev-int'!D7</f>
        <v>Kisbéri Közös Önk-i Hivatal</v>
      </c>
      <c r="F5" s="128" t="s">
        <v>347</v>
      </c>
      <c r="G5" s="126" t="str">
        <f>'bev-int'!F7</f>
        <v>Wass A. Műv. K.</v>
      </c>
      <c r="H5" s="126" t="str">
        <f>'bev-int'!G7</f>
        <v>Kisbéri Gyöngyszem Óvoda és Bölcsőde</v>
      </c>
      <c r="I5" s="126" t="s">
        <v>235</v>
      </c>
      <c r="J5" s="127" t="str">
        <f>'bev-int'!I7</f>
        <v>Önkormányzat</v>
      </c>
    </row>
    <row r="6" spans="1:10" ht="12">
      <c r="A6" s="200" t="s">
        <v>210</v>
      </c>
      <c r="B6" s="176"/>
      <c r="C6" s="941">
        <v>199571990</v>
      </c>
      <c r="D6" s="977">
        <f>SUM(E6:J6)</f>
        <v>208822790</v>
      </c>
      <c r="E6" s="978"/>
      <c r="F6" s="978"/>
      <c r="G6" s="979"/>
      <c r="H6" s="979"/>
      <c r="I6" s="979"/>
      <c r="J6" s="941">
        <f>'Áll.hj.'!G14</f>
        <v>208822790</v>
      </c>
    </row>
    <row r="7" spans="1:10" ht="12">
      <c r="A7" s="212" t="s">
        <v>568</v>
      </c>
      <c r="B7" s="177"/>
      <c r="C7" s="942">
        <v>152278470</v>
      </c>
      <c r="D7" s="947">
        <f aca="true" t="shared" si="0" ref="D7:D78">SUM(E7:J7)</f>
        <v>175053415.60000002</v>
      </c>
      <c r="E7" s="980"/>
      <c r="F7" s="980"/>
      <c r="G7" s="981"/>
      <c r="H7" s="981"/>
      <c r="I7" s="981"/>
      <c r="J7" s="942">
        <f>'Áll.hj.'!G21</f>
        <v>175053415.60000002</v>
      </c>
    </row>
    <row r="8" spans="1:11" ht="12">
      <c r="A8" s="212" t="s">
        <v>569</v>
      </c>
      <c r="B8" s="177"/>
      <c r="C8" s="942">
        <v>502140520</v>
      </c>
      <c r="D8" s="947">
        <f t="shared" si="0"/>
        <v>650607481</v>
      </c>
      <c r="E8" s="980"/>
      <c r="F8" s="980"/>
      <c r="G8" s="981"/>
      <c r="H8" s="981"/>
      <c r="I8" s="981"/>
      <c r="J8" s="942">
        <f>'Áll.hj.'!G41+'Áll.hj.'!G56+'Áll.hj.'!G63+'Áll.hj.'!G64</f>
        <v>650607481</v>
      </c>
      <c r="K8" s="185"/>
    </row>
    <row r="9" spans="1:11" ht="12">
      <c r="A9" s="212" t="s">
        <v>567</v>
      </c>
      <c r="B9" s="177"/>
      <c r="C9" s="942">
        <v>76843141</v>
      </c>
      <c r="D9" s="947">
        <f t="shared" si="0"/>
        <v>82466288</v>
      </c>
      <c r="E9" s="980"/>
      <c r="F9" s="980"/>
      <c r="G9" s="981"/>
      <c r="H9" s="981"/>
      <c r="I9" s="981"/>
      <c r="J9" s="942">
        <f>'Áll.hj.'!G46</f>
        <v>82466288</v>
      </c>
      <c r="K9" s="185"/>
    </row>
    <row r="10" spans="1:11" ht="12">
      <c r="A10" s="212" t="s">
        <v>570</v>
      </c>
      <c r="B10" s="177"/>
      <c r="C10" s="942">
        <v>12209121</v>
      </c>
      <c r="D10" s="947">
        <f t="shared" si="0"/>
        <v>17206240</v>
      </c>
      <c r="E10" s="980"/>
      <c r="F10" s="980"/>
      <c r="G10" s="981"/>
      <c r="H10" s="981"/>
      <c r="I10" s="981"/>
      <c r="J10" s="942">
        <f>'Áll.hj.'!G54</f>
        <v>17206240</v>
      </c>
      <c r="K10" s="185"/>
    </row>
    <row r="11" spans="1:11" ht="12">
      <c r="A11" s="212" t="s">
        <v>895</v>
      </c>
      <c r="B11" s="177"/>
      <c r="C11" s="942"/>
      <c r="D11" s="947">
        <f t="shared" si="0"/>
        <v>34184582</v>
      </c>
      <c r="E11" s="980"/>
      <c r="F11" s="980"/>
      <c r="G11" s="981"/>
      <c r="H11" s="981"/>
      <c r="I11" s="981"/>
      <c r="J11" s="942">
        <v>34184582</v>
      </c>
      <c r="K11" s="185"/>
    </row>
    <row r="12" spans="1:11" ht="12.75" thickBot="1">
      <c r="A12" s="202" t="s">
        <v>211</v>
      </c>
      <c r="B12" s="178"/>
      <c r="C12" s="943">
        <v>0</v>
      </c>
      <c r="D12" s="949">
        <f t="shared" si="0"/>
        <v>38918400</v>
      </c>
      <c r="E12" s="982"/>
      <c r="F12" s="982"/>
      <c r="G12" s="983"/>
      <c r="H12" s="983"/>
      <c r="I12" s="983"/>
      <c r="J12" s="943">
        <f>'Áll.hj.'!G69</f>
        <v>38918400</v>
      </c>
      <c r="K12" s="185"/>
    </row>
    <row r="13" spans="1:13" s="22" customFormat="1" ht="12.75" thickBot="1">
      <c r="A13" s="203" t="s">
        <v>181</v>
      </c>
      <c r="B13" s="190">
        <f aca="true" t="shared" si="1" ref="B13:I13">SUM(B6:B12)</f>
        <v>0</v>
      </c>
      <c r="C13" s="944">
        <f>SUM(C6:C12)</f>
        <v>943043242</v>
      </c>
      <c r="D13" s="944">
        <f t="shared" si="0"/>
        <v>1207259196.6</v>
      </c>
      <c r="E13" s="984">
        <f t="shared" si="1"/>
        <v>0</v>
      </c>
      <c r="F13" s="984">
        <f t="shared" si="1"/>
        <v>0</v>
      </c>
      <c r="G13" s="985">
        <f t="shared" si="1"/>
        <v>0</v>
      </c>
      <c r="H13" s="985">
        <f t="shared" si="1"/>
        <v>0</v>
      </c>
      <c r="I13" s="985">
        <f t="shared" si="1"/>
        <v>0</v>
      </c>
      <c r="J13" s="986">
        <f>SUM(J6:J12)</f>
        <v>1207259196.6</v>
      </c>
      <c r="L13" s="1082"/>
      <c r="M13" s="1082"/>
    </row>
    <row r="14" spans="1:10" s="22" customFormat="1" ht="12.75" thickBot="1">
      <c r="A14" s="203" t="s">
        <v>476</v>
      </c>
      <c r="B14" s="190"/>
      <c r="C14" s="944">
        <v>0</v>
      </c>
      <c r="D14" s="944">
        <f>SUM(E14:J14)</f>
        <v>0</v>
      </c>
      <c r="E14" s="984"/>
      <c r="F14" s="984"/>
      <c r="G14" s="985"/>
      <c r="H14" s="985"/>
      <c r="I14" s="985"/>
      <c r="J14" s="986"/>
    </row>
    <row r="15" spans="1:10" s="23" customFormat="1" ht="12.75" thickBot="1">
      <c r="A15" s="203" t="s">
        <v>267</v>
      </c>
      <c r="B15" s="190">
        <v>0</v>
      </c>
      <c r="C15" s="944">
        <v>0</v>
      </c>
      <c r="D15" s="944">
        <f>SUM(E15:J15)</f>
        <v>0</v>
      </c>
      <c r="E15" s="984"/>
      <c r="F15" s="984"/>
      <c r="G15" s="985"/>
      <c r="H15" s="985"/>
      <c r="I15" s="985"/>
      <c r="J15" s="986"/>
    </row>
    <row r="16" spans="1:10" ht="12">
      <c r="A16" s="304" t="s">
        <v>844</v>
      </c>
      <c r="B16" s="179"/>
      <c r="C16" s="945"/>
      <c r="D16" s="948">
        <f>SUM(E16:J16)</f>
        <v>7485018</v>
      </c>
      <c r="E16" s="987"/>
      <c r="F16" s="987"/>
      <c r="G16" s="988"/>
      <c r="H16" s="988"/>
      <c r="I16" s="988"/>
      <c r="J16" s="1090">
        <f>7704813-219795</f>
        <v>7485018</v>
      </c>
    </row>
    <row r="17" spans="1:10" ht="12">
      <c r="A17" s="304" t="s">
        <v>845</v>
      </c>
      <c r="B17" s="179"/>
      <c r="C17" s="945">
        <v>1980048</v>
      </c>
      <c r="D17" s="948">
        <f t="shared" si="0"/>
        <v>1980048</v>
      </c>
      <c r="E17" s="987"/>
      <c r="F17" s="987"/>
      <c r="G17" s="988"/>
      <c r="H17" s="988"/>
      <c r="I17" s="988"/>
      <c r="J17" s="1090">
        <v>1980048</v>
      </c>
    </row>
    <row r="18" spans="1:10" ht="12">
      <c r="A18" s="304" t="s">
        <v>861</v>
      </c>
      <c r="B18" s="179"/>
      <c r="C18" s="945">
        <v>0</v>
      </c>
      <c r="D18" s="948">
        <f t="shared" si="0"/>
        <v>737430</v>
      </c>
      <c r="E18" s="987"/>
      <c r="F18" s="987"/>
      <c r="G18" s="988"/>
      <c r="H18" s="988"/>
      <c r="I18" s="988"/>
      <c r="J18" s="1090">
        <v>737430</v>
      </c>
    </row>
    <row r="19" spans="1:10" ht="12">
      <c r="A19" s="304" t="s">
        <v>493</v>
      </c>
      <c r="B19" s="179"/>
      <c r="C19" s="945">
        <v>0</v>
      </c>
      <c r="D19" s="948">
        <f t="shared" si="0"/>
        <v>14571914</v>
      </c>
      <c r="E19" s="987"/>
      <c r="F19" s="987"/>
      <c r="G19" s="988"/>
      <c r="H19" s="988"/>
      <c r="I19" s="988"/>
      <c r="J19" s="1090">
        <v>14571914</v>
      </c>
    </row>
    <row r="20" spans="1:12" ht="12">
      <c r="A20" s="304" t="s">
        <v>579</v>
      </c>
      <c r="B20" s="179"/>
      <c r="C20" s="945">
        <v>0</v>
      </c>
      <c r="D20" s="948">
        <f t="shared" si="0"/>
        <v>0</v>
      </c>
      <c r="E20" s="987"/>
      <c r="F20" s="987"/>
      <c r="G20" s="988"/>
      <c r="H20" s="988"/>
      <c r="I20" s="988"/>
      <c r="J20" s="1090"/>
      <c r="L20" s="185"/>
    </row>
    <row r="21" spans="1:12" ht="12">
      <c r="A21" s="201" t="s">
        <v>273</v>
      </c>
      <c r="B21" s="177"/>
      <c r="C21" s="946">
        <v>3000000</v>
      </c>
      <c r="D21" s="947">
        <f t="shared" si="0"/>
        <v>3000000</v>
      </c>
      <c r="E21" s="980"/>
      <c r="F21" s="980"/>
      <c r="G21" s="981"/>
      <c r="H21" s="981"/>
      <c r="I21" s="981"/>
      <c r="J21" s="942">
        <v>3000000</v>
      </c>
      <c r="L21" s="185"/>
    </row>
    <row r="22" spans="1:10" ht="12">
      <c r="A22" s="212" t="s">
        <v>571</v>
      </c>
      <c r="B22" s="177"/>
      <c r="C22" s="946">
        <v>13475747</v>
      </c>
      <c r="D22" s="947">
        <f t="shared" si="0"/>
        <v>12310839</v>
      </c>
      <c r="E22" s="980"/>
      <c r="F22" s="980"/>
      <c r="G22" s="981"/>
      <c r="H22" s="981"/>
      <c r="I22" s="981"/>
      <c r="J22" s="942">
        <f>13475747-2189548+1024640</f>
        <v>12310839</v>
      </c>
    </row>
    <row r="23" spans="1:10" ht="12">
      <c r="A23" s="205" t="s">
        <v>173</v>
      </c>
      <c r="B23" s="177"/>
      <c r="C23" s="946">
        <v>9877200</v>
      </c>
      <c r="D23" s="947">
        <f t="shared" si="0"/>
        <v>11536500</v>
      </c>
      <c r="E23" s="980"/>
      <c r="F23" s="980"/>
      <c r="G23" s="981"/>
      <c r="H23" s="981"/>
      <c r="I23" s="981"/>
      <c r="J23" s="942">
        <f>9877200+1659300</f>
        <v>11536500</v>
      </c>
    </row>
    <row r="24" spans="1:10" ht="11.25" customHeight="1">
      <c r="A24" s="218" t="s">
        <v>894</v>
      </c>
      <c r="B24" s="177"/>
      <c r="C24" s="947"/>
      <c r="D24" s="947">
        <f>SUM(E24:J24)</f>
        <v>422621</v>
      </c>
      <c r="E24" s="980"/>
      <c r="F24" s="980"/>
      <c r="G24" s="981"/>
      <c r="H24" s="981"/>
      <c r="I24" s="981"/>
      <c r="J24" s="942">
        <v>422621</v>
      </c>
    </row>
    <row r="25" spans="1:10" ht="12">
      <c r="A25" s="218" t="s">
        <v>893</v>
      </c>
      <c r="B25" s="177"/>
      <c r="C25" s="947">
        <v>0</v>
      </c>
      <c r="D25" s="947">
        <f>SUM(E25:J25)</f>
        <v>566674</v>
      </c>
      <c r="E25" s="980"/>
      <c r="F25" s="980"/>
      <c r="G25" s="981"/>
      <c r="H25" s="981"/>
      <c r="I25" s="981"/>
      <c r="J25" s="946">
        <v>566674</v>
      </c>
    </row>
    <row r="26" spans="1:10" ht="12">
      <c r="A26" s="218" t="s">
        <v>488</v>
      </c>
      <c r="B26" s="177"/>
      <c r="C26" s="947">
        <v>4800000</v>
      </c>
      <c r="D26" s="947">
        <f>SUM(E26:J26)</f>
        <v>4800000</v>
      </c>
      <c r="E26" s="980">
        <v>4800000</v>
      </c>
      <c r="F26" s="980"/>
      <c r="G26" s="981"/>
      <c r="H26" s="981"/>
      <c r="I26" s="981"/>
      <c r="J26" s="946"/>
    </row>
    <row r="27" spans="1:10" s="74" customFormat="1" ht="12.75" thickBot="1">
      <c r="A27" s="78" t="s">
        <v>834</v>
      </c>
      <c r="B27" s="197"/>
      <c r="C27" s="947">
        <v>3516119</v>
      </c>
      <c r="D27" s="947">
        <f t="shared" si="0"/>
        <v>0</v>
      </c>
      <c r="E27" s="989"/>
      <c r="F27" s="989"/>
      <c r="G27" s="990"/>
      <c r="H27" s="990"/>
      <c r="I27" s="990"/>
      <c r="J27" s="991"/>
    </row>
    <row r="28" spans="1:10" s="22" customFormat="1" ht="12.75" thickBot="1">
      <c r="A28" s="203" t="s">
        <v>172</v>
      </c>
      <c r="B28" s="190">
        <f>SUM(B16:B27)</f>
        <v>0</v>
      </c>
      <c r="C28" s="944">
        <f>SUM(C16:C27)</f>
        <v>36649114</v>
      </c>
      <c r="D28" s="944">
        <f>SUM(E28:J28)</f>
        <v>57411044</v>
      </c>
      <c r="E28" s="984">
        <f aca="true" t="shared" si="2" ref="E28:J28">SUM(E16:E27)</f>
        <v>4800000</v>
      </c>
      <c r="F28" s="984">
        <f t="shared" si="2"/>
        <v>0</v>
      </c>
      <c r="G28" s="985">
        <f t="shared" si="2"/>
        <v>0</v>
      </c>
      <c r="H28" s="985">
        <f t="shared" si="2"/>
        <v>0</v>
      </c>
      <c r="I28" s="985">
        <f t="shared" si="2"/>
        <v>0</v>
      </c>
      <c r="J28" s="986">
        <f t="shared" si="2"/>
        <v>52611044</v>
      </c>
    </row>
    <row r="29" spans="1:10" ht="12">
      <c r="A29" s="304" t="s">
        <v>898</v>
      </c>
      <c r="B29" s="179">
        <v>0</v>
      </c>
      <c r="C29" s="948">
        <v>0</v>
      </c>
      <c r="D29" s="948">
        <f t="shared" si="0"/>
        <v>400000000</v>
      </c>
      <c r="E29" s="987"/>
      <c r="F29" s="987"/>
      <c r="G29" s="988"/>
      <c r="H29" s="988"/>
      <c r="I29" s="988"/>
      <c r="J29" s="945">
        <v>400000000</v>
      </c>
    </row>
    <row r="30" spans="1:10" ht="12">
      <c r="A30" s="201" t="s">
        <v>187</v>
      </c>
      <c r="B30" s="177">
        <v>0</v>
      </c>
      <c r="C30" s="947">
        <v>0</v>
      </c>
      <c r="D30" s="947">
        <f t="shared" si="0"/>
        <v>0</v>
      </c>
      <c r="E30" s="980"/>
      <c r="F30" s="980"/>
      <c r="G30" s="981"/>
      <c r="H30" s="981"/>
      <c r="I30" s="981"/>
      <c r="J30" s="946"/>
    </row>
    <row r="31" spans="1:10" ht="12">
      <c r="A31" s="212" t="s">
        <v>500</v>
      </c>
      <c r="B31" s="177"/>
      <c r="C31" s="947">
        <v>0</v>
      </c>
      <c r="D31" s="947">
        <f t="shared" si="0"/>
        <v>0</v>
      </c>
      <c r="E31" s="980"/>
      <c r="F31" s="980"/>
      <c r="G31" s="981"/>
      <c r="H31" s="981"/>
      <c r="I31" s="981"/>
      <c r="J31" s="946"/>
    </row>
    <row r="32" spans="1:10" ht="12.75" thickBot="1">
      <c r="A32" s="202" t="s">
        <v>188</v>
      </c>
      <c r="B32" s="178">
        <v>0</v>
      </c>
      <c r="C32" s="949">
        <v>0</v>
      </c>
      <c r="D32" s="949">
        <f t="shared" si="0"/>
        <v>0</v>
      </c>
      <c r="E32" s="982"/>
      <c r="F32" s="982"/>
      <c r="G32" s="983"/>
      <c r="H32" s="983"/>
      <c r="I32" s="983"/>
      <c r="J32" s="992"/>
    </row>
    <row r="33" spans="1:10" s="22" customFormat="1" ht="12.75" thickBot="1">
      <c r="A33" s="203" t="s">
        <v>186</v>
      </c>
      <c r="B33" s="190">
        <f aca="true" t="shared" si="3" ref="B33:J33">SUM(B29:B32)</f>
        <v>0</v>
      </c>
      <c r="C33" s="944">
        <f>SUM(C29:C32)</f>
        <v>0</v>
      </c>
      <c r="D33" s="944">
        <f t="shared" si="0"/>
        <v>400000000</v>
      </c>
      <c r="E33" s="984">
        <f t="shared" si="3"/>
        <v>0</v>
      </c>
      <c r="F33" s="984">
        <f t="shared" si="3"/>
        <v>0</v>
      </c>
      <c r="G33" s="985">
        <f t="shared" si="3"/>
        <v>0</v>
      </c>
      <c r="H33" s="985">
        <f t="shared" si="3"/>
        <v>0</v>
      </c>
      <c r="I33" s="985">
        <f t="shared" si="3"/>
        <v>0</v>
      </c>
      <c r="J33" s="986">
        <f t="shared" si="3"/>
        <v>400000000</v>
      </c>
    </row>
    <row r="34" spans="1:10" ht="12" hidden="1">
      <c r="A34" s="427"/>
      <c r="B34" s="314"/>
      <c r="C34" s="950">
        <v>0</v>
      </c>
      <c r="D34" s="993">
        <f t="shared" si="0"/>
        <v>0</v>
      </c>
      <c r="E34" s="980"/>
      <c r="F34" s="980"/>
      <c r="G34" s="981"/>
      <c r="H34" s="981"/>
      <c r="I34" s="981"/>
      <c r="J34" s="950"/>
    </row>
    <row r="35" spans="1:10" ht="12" hidden="1">
      <c r="A35" s="427"/>
      <c r="B35" s="315"/>
      <c r="C35" s="950">
        <v>0</v>
      </c>
      <c r="D35" s="994">
        <f aca="true" t="shared" si="4" ref="D35:D42">SUM(E35:J35)</f>
        <v>0</v>
      </c>
      <c r="E35" s="995"/>
      <c r="F35" s="769"/>
      <c r="G35" s="769"/>
      <c r="H35" s="769"/>
      <c r="I35" s="769"/>
      <c r="J35" s="950"/>
    </row>
    <row r="36" spans="1:10" ht="12" hidden="1">
      <c r="A36" s="427"/>
      <c r="B36" s="315"/>
      <c r="C36" s="950">
        <v>0</v>
      </c>
      <c r="D36" s="994">
        <f t="shared" si="4"/>
        <v>0</v>
      </c>
      <c r="E36" s="995"/>
      <c r="F36" s="769"/>
      <c r="G36" s="769"/>
      <c r="H36" s="769"/>
      <c r="I36" s="769"/>
      <c r="J36" s="950"/>
    </row>
    <row r="37" spans="1:10" ht="12" hidden="1">
      <c r="A37" s="427"/>
      <c r="B37" s="315"/>
      <c r="C37" s="950">
        <v>0</v>
      </c>
      <c r="D37" s="994">
        <f t="shared" si="4"/>
        <v>0</v>
      </c>
      <c r="E37" s="995"/>
      <c r="F37" s="769"/>
      <c r="G37" s="769"/>
      <c r="H37" s="769"/>
      <c r="I37" s="769"/>
      <c r="J37" s="950"/>
    </row>
    <row r="38" spans="1:10" ht="12">
      <c r="A38" s="427" t="s">
        <v>674</v>
      </c>
      <c r="B38" s="315"/>
      <c r="C38" s="950">
        <v>0</v>
      </c>
      <c r="D38" s="994">
        <f t="shared" si="4"/>
        <v>105311010</v>
      </c>
      <c r="E38" s="995"/>
      <c r="F38" s="769"/>
      <c r="G38" s="769"/>
      <c r="H38" s="769"/>
      <c r="I38" s="769"/>
      <c r="J38" s="950">
        <v>105311010</v>
      </c>
    </row>
    <row r="39" spans="1:10" ht="12">
      <c r="A39" s="427" t="s">
        <v>750</v>
      </c>
      <c r="B39" s="316"/>
      <c r="C39" s="950">
        <v>1548538</v>
      </c>
      <c r="D39" s="994">
        <f t="shared" si="4"/>
        <v>0</v>
      </c>
      <c r="E39" s="996"/>
      <c r="F39" s="962"/>
      <c r="G39" s="962"/>
      <c r="H39" s="962"/>
      <c r="I39" s="962"/>
      <c r="J39" s="950">
        <v>0</v>
      </c>
    </row>
    <row r="40" spans="1:10" ht="12.75" customHeight="1">
      <c r="A40" s="304" t="s">
        <v>499</v>
      </c>
      <c r="B40" s="316"/>
      <c r="C40" s="950">
        <v>0</v>
      </c>
      <c r="D40" s="994">
        <f t="shared" si="4"/>
        <v>0</v>
      </c>
      <c r="E40" s="996"/>
      <c r="F40" s="962"/>
      <c r="G40" s="962"/>
      <c r="H40" s="962"/>
      <c r="I40" s="962"/>
      <c r="J40" s="950"/>
    </row>
    <row r="41" spans="1:10" ht="12">
      <c r="A41" s="304" t="s">
        <v>751</v>
      </c>
      <c r="B41" s="316"/>
      <c r="C41" s="950">
        <v>199357050</v>
      </c>
      <c r="D41" s="994">
        <f t="shared" si="4"/>
        <v>189407050</v>
      </c>
      <c r="E41" s="996"/>
      <c r="F41" s="962"/>
      <c r="G41" s="962"/>
      <c r="H41" s="962"/>
      <c r="I41" s="962"/>
      <c r="J41" s="950">
        <f>199357050-9950000</f>
        <v>189407050</v>
      </c>
    </row>
    <row r="42" spans="1:10" ht="12.75">
      <c r="A42" s="598" t="s">
        <v>862</v>
      </c>
      <c r="B42" s="316"/>
      <c r="C42" s="950"/>
      <c r="D42" s="997">
        <f t="shared" si="4"/>
        <v>228785046</v>
      </c>
      <c r="E42" s="996"/>
      <c r="F42" s="962"/>
      <c r="G42" s="962"/>
      <c r="H42" s="962"/>
      <c r="I42" s="962"/>
      <c r="J42" s="990">
        <v>228785046</v>
      </c>
    </row>
    <row r="43" spans="1:10" ht="13.5" thickBot="1">
      <c r="A43" s="598" t="s">
        <v>863</v>
      </c>
      <c r="B43" s="317">
        <v>0</v>
      </c>
      <c r="C43" s="950"/>
      <c r="D43" s="998">
        <f t="shared" si="0"/>
        <v>149992600</v>
      </c>
      <c r="E43" s="982"/>
      <c r="F43" s="982"/>
      <c r="G43" s="983"/>
      <c r="H43" s="983"/>
      <c r="I43" s="983"/>
      <c r="J43" s="990">
        <v>149992600</v>
      </c>
    </row>
    <row r="44" spans="1:10" s="22" customFormat="1" ht="12.75" thickBot="1">
      <c r="A44" s="203" t="s">
        <v>174</v>
      </c>
      <c r="B44" s="190">
        <f>SUM(B34:B43)</f>
        <v>0</v>
      </c>
      <c r="C44" s="951">
        <f>SUM(C34:C43)</f>
        <v>200905588</v>
      </c>
      <c r="D44" s="951">
        <f t="shared" si="0"/>
        <v>673495706</v>
      </c>
      <c r="E44" s="984">
        <f aca="true" t="shared" si="5" ref="E44:J44">SUM(E34:E43)</f>
        <v>0</v>
      </c>
      <c r="F44" s="984">
        <f t="shared" si="5"/>
        <v>0</v>
      </c>
      <c r="G44" s="985">
        <f t="shared" si="5"/>
        <v>0</v>
      </c>
      <c r="H44" s="985">
        <f t="shared" si="5"/>
        <v>0</v>
      </c>
      <c r="I44" s="985">
        <f t="shared" si="5"/>
        <v>0</v>
      </c>
      <c r="J44" s="986">
        <f t="shared" si="5"/>
        <v>673495706</v>
      </c>
    </row>
    <row r="45" spans="1:10" ht="11.25" customHeight="1" thickBot="1">
      <c r="A45" s="206" t="s">
        <v>230</v>
      </c>
      <c r="B45" s="183"/>
      <c r="C45" s="944">
        <v>0</v>
      </c>
      <c r="D45" s="944">
        <f t="shared" si="0"/>
        <v>0</v>
      </c>
      <c r="E45" s="999"/>
      <c r="F45" s="999"/>
      <c r="G45" s="1000"/>
      <c r="H45" s="1000"/>
      <c r="I45" s="1000"/>
      <c r="J45" s="1001"/>
    </row>
    <row r="46" spans="1:12" ht="12">
      <c r="A46" s="204" t="s">
        <v>92</v>
      </c>
      <c r="B46" s="179"/>
      <c r="C46" s="948">
        <v>63000000</v>
      </c>
      <c r="D46" s="948">
        <f t="shared" si="0"/>
        <v>53672220</v>
      </c>
      <c r="E46" s="987"/>
      <c r="F46" s="987"/>
      <c r="G46" s="988"/>
      <c r="H46" s="988"/>
      <c r="I46" s="988"/>
      <c r="J46" s="945">
        <v>53672220</v>
      </c>
      <c r="L46" s="7"/>
    </row>
    <row r="47" spans="1:12" ht="12.75" thickBot="1">
      <c r="A47" s="202" t="s">
        <v>93</v>
      </c>
      <c r="B47" s="178"/>
      <c r="C47" s="949">
        <v>27000000</v>
      </c>
      <c r="D47" s="949">
        <f t="shared" si="0"/>
        <v>27299580</v>
      </c>
      <c r="E47" s="982"/>
      <c r="F47" s="982"/>
      <c r="G47" s="983"/>
      <c r="H47" s="983"/>
      <c r="I47" s="983"/>
      <c r="J47" s="992">
        <v>27299580</v>
      </c>
      <c r="L47" s="7"/>
    </row>
    <row r="48" spans="1:12" s="23" customFormat="1" ht="12.75" thickBot="1">
      <c r="A48" s="203" t="s">
        <v>175</v>
      </c>
      <c r="B48" s="190">
        <f aca="true" t="shared" si="6" ref="B48:J48">SUM(B46:B47)</f>
        <v>0</v>
      </c>
      <c r="C48" s="944">
        <f>C46+C47</f>
        <v>90000000</v>
      </c>
      <c r="D48" s="944">
        <f t="shared" si="0"/>
        <v>80971800</v>
      </c>
      <c r="E48" s="984">
        <f t="shared" si="6"/>
        <v>0</v>
      </c>
      <c r="F48" s="984">
        <f t="shared" si="6"/>
        <v>0</v>
      </c>
      <c r="G48" s="985">
        <f t="shared" si="6"/>
        <v>0</v>
      </c>
      <c r="H48" s="985">
        <f t="shared" si="6"/>
        <v>0</v>
      </c>
      <c r="I48" s="985">
        <f t="shared" si="6"/>
        <v>0</v>
      </c>
      <c r="J48" s="986">
        <f t="shared" si="6"/>
        <v>80971800</v>
      </c>
      <c r="L48" s="7"/>
    </row>
    <row r="49" spans="1:12" ht="12">
      <c r="A49" s="204" t="s">
        <v>177</v>
      </c>
      <c r="B49" s="179"/>
      <c r="C49" s="948">
        <v>250000000</v>
      </c>
      <c r="D49" s="948">
        <f t="shared" si="0"/>
        <v>432051834</v>
      </c>
      <c r="E49" s="987"/>
      <c r="F49" s="987"/>
      <c r="G49" s="988"/>
      <c r="H49" s="988"/>
      <c r="I49" s="988"/>
      <c r="J49" s="945">
        <f>250000000+182051834</f>
        <v>432051834</v>
      </c>
      <c r="L49" s="7"/>
    </row>
    <row r="50" spans="1:12" ht="12.75" thickBot="1">
      <c r="A50" s="207" t="s">
        <v>385</v>
      </c>
      <c r="B50" s="178"/>
      <c r="C50" s="949">
        <v>0</v>
      </c>
      <c r="D50" s="949">
        <f t="shared" si="0"/>
        <v>0</v>
      </c>
      <c r="E50" s="982"/>
      <c r="F50" s="982"/>
      <c r="G50" s="983"/>
      <c r="H50" s="983"/>
      <c r="I50" s="983"/>
      <c r="J50" s="992"/>
      <c r="L50" s="7"/>
    </row>
    <row r="51" spans="1:12" s="8" customFormat="1" ht="12.75" thickBot="1">
      <c r="A51" s="208" t="s">
        <v>176</v>
      </c>
      <c r="B51" s="183">
        <f aca="true" t="shared" si="7" ref="B51:J51">SUM(B49:B50)</f>
        <v>0</v>
      </c>
      <c r="C51" s="944">
        <f>C49+C50</f>
        <v>250000000</v>
      </c>
      <c r="D51" s="944">
        <f t="shared" si="0"/>
        <v>432051834</v>
      </c>
      <c r="E51" s="999">
        <f t="shared" si="7"/>
        <v>0</v>
      </c>
      <c r="F51" s="999">
        <f t="shared" si="7"/>
        <v>0</v>
      </c>
      <c r="G51" s="1000">
        <f t="shared" si="7"/>
        <v>0</v>
      </c>
      <c r="H51" s="1000">
        <f t="shared" si="7"/>
        <v>0</v>
      </c>
      <c r="I51" s="1000">
        <f t="shared" si="7"/>
        <v>0</v>
      </c>
      <c r="J51" s="1001">
        <f t="shared" si="7"/>
        <v>432051834</v>
      </c>
      <c r="L51" s="7"/>
    </row>
    <row r="52" spans="1:12" ht="12">
      <c r="A52" s="209" t="s">
        <v>179</v>
      </c>
      <c r="B52" s="179"/>
      <c r="C52" s="948">
        <v>500000</v>
      </c>
      <c r="D52" s="948">
        <f t="shared" si="0"/>
        <v>565500</v>
      </c>
      <c r="E52" s="987"/>
      <c r="F52" s="987"/>
      <c r="G52" s="988"/>
      <c r="H52" s="988"/>
      <c r="I52" s="988"/>
      <c r="J52" s="945">
        <v>565500</v>
      </c>
      <c r="L52" s="7"/>
    </row>
    <row r="53" spans="1:12" ht="12" customHeight="1" thickBot="1">
      <c r="A53" s="211" t="s">
        <v>180</v>
      </c>
      <c r="B53" s="178">
        <v>0</v>
      </c>
      <c r="C53" s="949">
        <v>0</v>
      </c>
      <c r="D53" s="949">
        <f t="shared" si="0"/>
        <v>0</v>
      </c>
      <c r="E53" s="982"/>
      <c r="F53" s="982"/>
      <c r="G53" s="983"/>
      <c r="H53" s="983"/>
      <c r="I53" s="983"/>
      <c r="J53" s="992"/>
      <c r="L53" s="7"/>
    </row>
    <row r="54" spans="1:12" s="8" customFormat="1" ht="12.75" thickBot="1">
      <c r="A54" s="208" t="s">
        <v>178</v>
      </c>
      <c r="B54" s="183">
        <f>SUM(B52:B53)</f>
        <v>0</v>
      </c>
      <c r="C54" s="944">
        <f>C52+C53</f>
        <v>500000</v>
      </c>
      <c r="D54" s="944">
        <f t="shared" si="0"/>
        <v>565500</v>
      </c>
      <c r="E54" s="999">
        <f aca="true" t="shared" si="8" ref="E54:J54">SUM(E52:E53)</f>
        <v>0</v>
      </c>
      <c r="F54" s="999">
        <f t="shared" si="8"/>
        <v>0</v>
      </c>
      <c r="G54" s="1000">
        <f t="shared" si="8"/>
        <v>0</v>
      </c>
      <c r="H54" s="1000">
        <f t="shared" si="8"/>
        <v>0</v>
      </c>
      <c r="I54" s="1000">
        <f t="shared" si="8"/>
        <v>0</v>
      </c>
      <c r="J54" s="1001">
        <f t="shared" si="8"/>
        <v>565500</v>
      </c>
      <c r="L54" s="7"/>
    </row>
    <row r="55" spans="1:12" s="23" customFormat="1" ht="12.75" thickBot="1">
      <c r="A55" s="203" t="s">
        <v>144</v>
      </c>
      <c r="B55" s="190" t="e">
        <f>B51+#REF!+B54</f>
        <v>#REF!</v>
      </c>
      <c r="C55" s="944">
        <f>C51+C54</f>
        <v>250500000</v>
      </c>
      <c r="D55" s="944">
        <f t="shared" si="0"/>
        <v>432617334</v>
      </c>
      <c r="E55" s="984">
        <f aca="true" t="shared" si="9" ref="E55:J55">E51+E54</f>
        <v>0</v>
      </c>
      <c r="F55" s="984">
        <f t="shared" si="9"/>
        <v>0</v>
      </c>
      <c r="G55" s="984">
        <f t="shared" si="9"/>
        <v>0</v>
      </c>
      <c r="H55" s="984">
        <f t="shared" si="9"/>
        <v>0</v>
      </c>
      <c r="I55" s="984">
        <f t="shared" si="9"/>
        <v>0</v>
      </c>
      <c r="J55" s="984">
        <f t="shared" si="9"/>
        <v>432617334</v>
      </c>
      <c r="L55" s="7"/>
    </row>
    <row r="56" spans="1:12" ht="12">
      <c r="A56" s="304" t="s">
        <v>899</v>
      </c>
      <c r="B56" s="179"/>
      <c r="C56" s="948">
        <v>500000</v>
      </c>
      <c r="D56" s="948">
        <f t="shared" si="0"/>
        <v>485240</v>
      </c>
      <c r="E56" s="987">
        <v>480000</v>
      </c>
      <c r="F56" s="987"/>
      <c r="G56" s="988"/>
      <c r="H56" s="988"/>
      <c r="I56" s="988"/>
      <c r="J56" s="945">
        <v>5240</v>
      </c>
      <c r="L56" s="7"/>
    </row>
    <row r="57" spans="1:12" ht="12">
      <c r="A57" s="304" t="s">
        <v>752</v>
      </c>
      <c r="B57" s="179"/>
      <c r="C57" s="948">
        <v>4485480</v>
      </c>
      <c r="D57" s="948">
        <f t="shared" si="0"/>
        <v>4934840</v>
      </c>
      <c r="E57" s="987"/>
      <c r="F57" s="987"/>
      <c r="G57" s="988"/>
      <c r="H57" s="988"/>
      <c r="I57" s="988"/>
      <c r="J57" s="945">
        <v>4934840</v>
      </c>
      <c r="K57" s="7"/>
      <c r="L57" s="7"/>
    </row>
    <row r="58" spans="1:12" ht="12">
      <c r="A58" s="210" t="s">
        <v>310</v>
      </c>
      <c r="B58" s="177"/>
      <c r="C58" s="947">
        <v>1000000</v>
      </c>
      <c r="D58" s="947">
        <f t="shared" si="0"/>
        <v>743059</v>
      </c>
      <c r="E58" s="980"/>
      <c r="F58" s="980"/>
      <c r="G58" s="981"/>
      <c r="H58" s="981"/>
      <c r="I58" s="981"/>
      <c r="J58" s="946">
        <v>743059</v>
      </c>
      <c r="K58" s="7"/>
      <c r="L58" s="7"/>
    </row>
    <row r="59" spans="1:12" ht="12.75" thickBot="1">
      <c r="A59" s="207" t="s">
        <v>1</v>
      </c>
      <c r="B59" s="178"/>
      <c r="C59" s="949">
        <v>1000000</v>
      </c>
      <c r="D59" s="949">
        <f t="shared" si="0"/>
        <v>2630472</v>
      </c>
      <c r="E59" s="982"/>
      <c r="F59" s="982"/>
      <c r="G59" s="983"/>
      <c r="H59" s="983"/>
      <c r="I59" s="983"/>
      <c r="J59" s="992">
        <f>201845+2428627</f>
        <v>2630472</v>
      </c>
      <c r="K59" s="7"/>
      <c r="L59" s="7"/>
    </row>
    <row r="60" spans="1:12" s="8" customFormat="1" ht="12.75" thickBot="1">
      <c r="A60" s="208" t="s">
        <v>145</v>
      </c>
      <c r="B60" s="183">
        <f>SUM(B56:B59)</f>
        <v>0</v>
      </c>
      <c r="C60" s="944">
        <f>SUM(C56:C59)</f>
        <v>6985480</v>
      </c>
      <c r="D60" s="944">
        <f t="shared" si="0"/>
        <v>8793611</v>
      </c>
      <c r="E60" s="999">
        <f aca="true" t="shared" si="10" ref="E60:J60">SUM(E56:E59)</f>
        <v>480000</v>
      </c>
      <c r="F60" s="999">
        <f t="shared" si="10"/>
        <v>0</v>
      </c>
      <c r="G60" s="1000">
        <f t="shared" si="10"/>
        <v>0</v>
      </c>
      <c r="H60" s="1000">
        <f t="shared" si="10"/>
        <v>0</v>
      </c>
      <c r="I60" s="1000">
        <f t="shared" si="10"/>
        <v>0</v>
      </c>
      <c r="J60" s="1001">
        <f t="shared" si="10"/>
        <v>8313611</v>
      </c>
      <c r="L60" s="7"/>
    </row>
    <row r="61" spans="1:10" s="8" customFormat="1" ht="12.75" thickBot="1">
      <c r="A61" s="208" t="s">
        <v>200</v>
      </c>
      <c r="B61" s="183"/>
      <c r="C61" s="944">
        <v>2420000</v>
      </c>
      <c r="D61" s="944">
        <f t="shared" si="0"/>
        <v>3911860</v>
      </c>
      <c r="E61" s="999"/>
      <c r="F61" s="999"/>
      <c r="G61" s="1000"/>
      <c r="H61" s="1000"/>
      <c r="I61" s="1000">
        <v>3414619</v>
      </c>
      <c r="J61" s="1001">
        <v>497241</v>
      </c>
    </row>
    <row r="62" spans="1:10" ht="12">
      <c r="A62" s="304" t="s">
        <v>491</v>
      </c>
      <c r="B62" s="179"/>
      <c r="C62" s="948">
        <v>24937200</v>
      </c>
      <c r="D62" s="948">
        <f t="shared" si="0"/>
        <v>34971735</v>
      </c>
      <c r="E62" s="987"/>
      <c r="F62" s="1002">
        <f>17479800+11332839</f>
        <v>28812639</v>
      </c>
      <c r="G62" s="988"/>
      <c r="H62" s="988"/>
      <c r="I62" s="988">
        <v>6159096</v>
      </c>
      <c r="J62" s="945"/>
    </row>
    <row r="63" spans="1:10" ht="12">
      <c r="A63" s="204" t="s">
        <v>2</v>
      </c>
      <c r="B63" s="179"/>
      <c r="C63" s="948">
        <v>48468950</v>
      </c>
      <c r="D63" s="948">
        <f>SUM(E63:J63)</f>
        <v>47887276</v>
      </c>
      <c r="E63" s="987">
        <v>7334184</v>
      </c>
      <c r="F63" s="1002">
        <v>2500000</v>
      </c>
      <c r="G63" s="988"/>
      <c r="H63" s="988"/>
      <c r="I63" s="988"/>
      <c r="J63" s="945">
        <v>38053092</v>
      </c>
    </row>
    <row r="64" spans="1:10" ht="12">
      <c r="A64" s="212" t="s">
        <v>492</v>
      </c>
      <c r="B64" s="177"/>
      <c r="C64" s="947">
        <v>2774500</v>
      </c>
      <c r="D64" s="947">
        <f>SUM(E64:J64)</f>
        <v>2742093</v>
      </c>
      <c r="E64" s="980"/>
      <c r="F64" s="1003">
        <v>274500</v>
      </c>
      <c r="G64" s="981"/>
      <c r="H64" s="981"/>
      <c r="I64" s="981"/>
      <c r="J64" s="946">
        <v>2467593</v>
      </c>
    </row>
    <row r="65" spans="1:10" ht="12">
      <c r="A65" s="207" t="s">
        <v>384</v>
      </c>
      <c r="B65" s="178"/>
      <c r="C65" s="947">
        <v>8600000</v>
      </c>
      <c r="D65" s="947">
        <f t="shared" si="0"/>
        <v>9913901</v>
      </c>
      <c r="E65" s="982"/>
      <c r="F65" s="1004"/>
      <c r="G65" s="983">
        <v>9913901</v>
      </c>
      <c r="H65" s="983"/>
      <c r="I65" s="983"/>
      <c r="J65" s="992"/>
    </row>
    <row r="66" spans="1:10" ht="12">
      <c r="A66" s="207" t="s">
        <v>3</v>
      </c>
      <c r="B66" s="178"/>
      <c r="C66" s="947">
        <v>94488</v>
      </c>
      <c r="D66" s="947">
        <f t="shared" si="0"/>
        <v>94488</v>
      </c>
      <c r="E66" s="982"/>
      <c r="F66" s="1004">
        <v>94488</v>
      </c>
      <c r="G66" s="983"/>
      <c r="H66" s="983"/>
      <c r="I66" s="983"/>
      <c r="J66" s="992"/>
    </row>
    <row r="67" spans="1:10" ht="12.75" thickBot="1">
      <c r="A67" s="207" t="s">
        <v>383</v>
      </c>
      <c r="B67" s="178"/>
      <c r="C67" s="949">
        <v>200000</v>
      </c>
      <c r="D67" s="949">
        <f t="shared" si="0"/>
        <v>200000</v>
      </c>
      <c r="E67" s="982"/>
      <c r="F67" s="1004">
        <v>200000</v>
      </c>
      <c r="G67" s="983"/>
      <c r="H67" s="983"/>
      <c r="I67" s="983"/>
      <c r="J67" s="992"/>
    </row>
    <row r="68" spans="1:10" s="8" customFormat="1" ht="12" customHeight="1" thickBot="1">
      <c r="A68" s="208" t="s">
        <v>194</v>
      </c>
      <c r="B68" s="183">
        <f>SUM(B62:B67)</f>
        <v>0</v>
      </c>
      <c r="C68" s="944">
        <f>SUM(C62:C67)</f>
        <v>85075138</v>
      </c>
      <c r="D68" s="944">
        <f t="shared" si="0"/>
        <v>95809493</v>
      </c>
      <c r="E68" s="999">
        <f aca="true" t="shared" si="11" ref="E68:J68">SUM(E62:E67)</f>
        <v>7334184</v>
      </c>
      <c r="F68" s="1005">
        <f t="shared" si="11"/>
        <v>31881627</v>
      </c>
      <c r="G68" s="1000">
        <f t="shared" si="11"/>
        <v>9913901</v>
      </c>
      <c r="H68" s="1000">
        <f t="shared" si="11"/>
        <v>0</v>
      </c>
      <c r="I68" s="1000">
        <f t="shared" si="11"/>
        <v>6159096</v>
      </c>
      <c r="J68" s="1001">
        <f t="shared" si="11"/>
        <v>40520685</v>
      </c>
    </row>
    <row r="69" spans="1:10" ht="12">
      <c r="A69" s="204" t="s">
        <v>195</v>
      </c>
      <c r="B69" s="179"/>
      <c r="C69" s="948">
        <v>13038490</v>
      </c>
      <c r="D69" s="948">
        <f t="shared" si="0"/>
        <v>6923448</v>
      </c>
      <c r="E69" s="987">
        <v>75588</v>
      </c>
      <c r="F69" s="1002"/>
      <c r="G69" s="988"/>
      <c r="H69" s="988"/>
      <c r="I69" s="988"/>
      <c r="J69" s="945">
        <v>6847860</v>
      </c>
    </row>
    <row r="70" spans="1:10" ht="12.75" thickBot="1">
      <c r="A70" s="202" t="s">
        <v>196</v>
      </c>
      <c r="B70" s="178"/>
      <c r="C70" s="949">
        <v>13520000</v>
      </c>
      <c r="D70" s="949">
        <f t="shared" si="0"/>
        <v>15251966</v>
      </c>
      <c r="E70" s="982">
        <f>60000+52748</f>
        <v>112748</v>
      </c>
      <c r="F70" s="1004"/>
      <c r="G70" s="983">
        <v>1448437</v>
      </c>
      <c r="H70" s="983"/>
      <c r="I70" s="983">
        <v>70498</v>
      </c>
      <c r="J70" s="992">
        <v>13620283</v>
      </c>
    </row>
    <row r="71" spans="1:10" ht="12.75" thickBot="1">
      <c r="A71" s="208" t="s">
        <v>197</v>
      </c>
      <c r="B71" s="183">
        <f>SUM(B69:B70)</f>
        <v>0</v>
      </c>
      <c r="C71" s="944">
        <f>C69+C70</f>
        <v>26558490</v>
      </c>
      <c r="D71" s="944">
        <f t="shared" si="0"/>
        <v>22175414</v>
      </c>
      <c r="E71" s="999">
        <f aca="true" t="shared" si="12" ref="E71:J71">SUM(E69:E70)</f>
        <v>188336</v>
      </c>
      <c r="F71" s="1005">
        <f t="shared" si="12"/>
        <v>0</v>
      </c>
      <c r="G71" s="1000">
        <f t="shared" si="12"/>
        <v>1448437</v>
      </c>
      <c r="H71" s="1000">
        <f t="shared" si="12"/>
        <v>0</v>
      </c>
      <c r="I71" s="1000">
        <f t="shared" si="12"/>
        <v>70498</v>
      </c>
      <c r="J71" s="1001">
        <f t="shared" si="12"/>
        <v>20468143</v>
      </c>
    </row>
    <row r="72" spans="1:10" ht="12.75" thickBot="1">
      <c r="A72" s="208" t="s">
        <v>201</v>
      </c>
      <c r="B72" s="183">
        <v>0</v>
      </c>
      <c r="C72" s="944">
        <v>33969816</v>
      </c>
      <c r="D72" s="944">
        <f t="shared" si="0"/>
        <v>38544904</v>
      </c>
      <c r="E72" s="999"/>
      <c r="F72" s="1005"/>
      <c r="G72" s="1000"/>
      <c r="H72" s="1000"/>
      <c r="I72" s="1000"/>
      <c r="J72" s="1001">
        <v>38544904</v>
      </c>
    </row>
    <row r="73" spans="1:10" ht="12">
      <c r="A73" s="204" t="s">
        <v>198</v>
      </c>
      <c r="B73" s="179">
        <v>0</v>
      </c>
      <c r="C73" s="948">
        <v>199493055</v>
      </c>
      <c r="D73" s="948">
        <f t="shared" si="0"/>
        <v>171110785</v>
      </c>
      <c r="E73" s="987"/>
      <c r="F73" s="1002"/>
      <c r="G73" s="988"/>
      <c r="H73" s="988"/>
      <c r="I73" s="988">
        <v>161958447</v>
      </c>
      <c r="J73" s="945">
        <v>9152338</v>
      </c>
    </row>
    <row r="74" spans="1:10" ht="12.75" thickBot="1">
      <c r="A74" s="201" t="s">
        <v>4</v>
      </c>
      <c r="B74" s="177"/>
      <c r="C74" s="947">
        <v>16351025</v>
      </c>
      <c r="D74" s="947">
        <f t="shared" si="0"/>
        <v>14369906</v>
      </c>
      <c r="E74" s="980"/>
      <c r="F74" s="1003">
        <v>14369906</v>
      </c>
      <c r="G74" s="981"/>
      <c r="H74" s="981"/>
      <c r="I74" s="981"/>
      <c r="J74" s="946"/>
    </row>
    <row r="75" spans="1:10" ht="12.75" thickBot="1">
      <c r="A75" s="208" t="s">
        <v>199</v>
      </c>
      <c r="B75" s="183">
        <f>SUM(B73:B74)</f>
        <v>0</v>
      </c>
      <c r="C75" s="944">
        <v>215844080</v>
      </c>
      <c r="D75" s="944">
        <f t="shared" si="0"/>
        <v>185480691</v>
      </c>
      <c r="E75" s="999">
        <f aca="true" t="shared" si="13" ref="E75:J75">SUM(E73:E74)</f>
        <v>0</v>
      </c>
      <c r="F75" s="1005">
        <f t="shared" si="13"/>
        <v>14369906</v>
      </c>
      <c r="G75" s="1000">
        <f t="shared" si="13"/>
        <v>0</v>
      </c>
      <c r="H75" s="1000">
        <f t="shared" si="13"/>
        <v>0</v>
      </c>
      <c r="I75" s="1000">
        <f t="shared" si="13"/>
        <v>161958447</v>
      </c>
      <c r="J75" s="1001">
        <f t="shared" si="13"/>
        <v>9152338</v>
      </c>
    </row>
    <row r="76" spans="1:10" s="8" customFormat="1" ht="12.75" thickBot="1">
      <c r="A76" s="208" t="s">
        <v>202</v>
      </c>
      <c r="B76" s="183"/>
      <c r="C76" s="944">
        <v>39103703</v>
      </c>
      <c r="D76" s="1006">
        <f t="shared" si="0"/>
        <v>41009371</v>
      </c>
      <c r="E76" s="999">
        <v>86993</v>
      </c>
      <c r="F76" s="1005">
        <v>12492649</v>
      </c>
      <c r="G76" s="1000">
        <v>1788526</v>
      </c>
      <c r="H76" s="1000"/>
      <c r="I76" s="1000">
        <v>2743892</v>
      </c>
      <c r="J76" s="1001">
        <v>23897311</v>
      </c>
    </row>
    <row r="77" spans="1:10" s="8" customFormat="1" ht="12.75" thickBot="1">
      <c r="A77" s="213" t="s">
        <v>753</v>
      </c>
      <c r="B77" s="184"/>
      <c r="C77" s="952">
        <v>233926675</v>
      </c>
      <c r="D77" s="981">
        <f t="shared" si="0"/>
        <v>130492977</v>
      </c>
      <c r="E77" s="1007">
        <v>1000</v>
      </c>
      <c r="F77" s="1008">
        <v>180000</v>
      </c>
      <c r="G77" s="1009">
        <v>2000</v>
      </c>
      <c r="H77" s="1009"/>
      <c r="I77" s="1009"/>
      <c r="J77" s="1010">
        <v>130309977</v>
      </c>
    </row>
    <row r="78" spans="1:10" ht="12.75" thickBot="1">
      <c r="A78" s="208" t="s">
        <v>60</v>
      </c>
      <c r="B78" s="183"/>
      <c r="C78" s="953">
        <v>0</v>
      </c>
      <c r="D78" s="981">
        <f t="shared" si="0"/>
        <v>247328</v>
      </c>
      <c r="E78" s="999">
        <v>408</v>
      </c>
      <c r="F78" s="1005">
        <v>328</v>
      </c>
      <c r="G78" s="1000">
        <v>131</v>
      </c>
      <c r="H78" s="1000">
        <v>272</v>
      </c>
      <c r="I78" s="1000">
        <v>844</v>
      </c>
      <c r="J78" s="1001">
        <v>245345</v>
      </c>
    </row>
    <row r="79" spans="1:10" s="8" customFormat="1" ht="12.75" hidden="1" thickBot="1">
      <c r="A79" s="208" t="s">
        <v>203</v>
      </c>
      <c r="B79" s="183"/>
      <c r="C79" s="953">
        <v>0</v>
      </c>
      <c r="D79" s="981">
        <f aca="true" t="shared" si="14" ref="D79:D99">SUM(E79:J79)</f>
        <v>0</v>
      </c>
      <c r="E79" s="999"/>
      <c r="F79" s="1005"/>
      <c r="G79" s="1000"/>
      <c r="H79" s="1000"/>
      <c r="I79" s="1000"/>
      <c r="J79" s="1001"/>
    </row>
    <row r="80" spans="1:10" ht="12">
      <c r="A80" s="304" t="s">
        <v>477</v>
      </c>
      <c r="B80" s="179"/>
      <c r="C80" s="954">
        <v>0</v>
      </c>
      <c r="D80" s="981">
        <f t="shared" si="14"/>
        <v>630968</v>
      </c>
      <c r="E80" s="987"/>
      <c r="F80" s="1002"/>
      <c r="G80" s="988"/>
      <c r="H80" s="988"/>
      <c r="I80" s="988">
        <v>389494</v>
      </c>
      <c r="J80" s="945">
        <v>241474</v>
      </c>
    </row>
    <row r="81" spans="1:10" ht="12">
      <c r="A81" s="212" t="s">
        <v>501</v>
      </c>
      <c r="B81" s="177"/>
      <c r="C81" s="947">
        <v>0</v>
      </c>
      <c r="D81" s="947">
        <f t="shared" si="14"/>
        <v>0</v>
      </c>
      <c r="E81" s="980"/>
      <c r="F81" s="1003"/>
      <c r="G81" s="981"/>
      <c r="H81" s="981"/>
      <c r="I81" s="981"/>
      <c r="J81" s="946"/>
    </row>
    <row r="82" spans="1:10" ht="12.75" thickBot="1">
      <c r="A82" s="202" t="s">
        <v>204</v>
      </c>
      <c r="B82" s="178">
        <v>0</v>
      </c>
      <c r="C82" s="949">
        <v>0</v>
      </c>
      <c r="D82" s="949">
        <f t="shared" si="14"/>
        <v>9820362</v>
      </c>
      <c r="E82" s="982">
        <v>94106</v>
      </c>
      <c r="F82" s="1004">
        <v>1734</v>
      </c>
      <c r="G82" s="983">
        <v>42680</v>
      </c>
      <c r="H82" s="983">
        <v>54413</v>
      </c>
      <c r="I82" s="983">
        <v>317334</v>
      </c>
      <c r="J82" s="992">
        <v>9310095</v>
      </c>
    </row>
    <row r="83" spans="1:10" ht="12.75" thickBot="1">
      <c r="A83" s="208" t="s">
        <v>204</v>
      </c>
      <c r="B83" s="183"/>
      <c r="C83" s="944">
        <v>0</v>
      </c>
      <c r="D83" s="944">
        <f t="shared" si="14"/>
        <v>10209856</v>
      </c>
      <c r="E83" s="999">
        <f>SUM(E80:E82)</f>
        <v>94106</v>
      </c>
      <c r="F83" s="1005">
        <f>SUM(F80:F82)</f>
        <v>1734</v>
      </c>
      <c r="G83" s="1000">
        <f>SUM(G80:G82)</f>
        <v>42680</v>
      </c>
      <c r="H83" s="1000">
        <f>SUM(H80:H82)</f>
        <v>54413</v>
      </c>
      <c r="I83" s="1000">
        <f>SUM(I80:I82)</f>
        <v>706828</v>
      </c>
      <c r="J83" s="1001">
        <f>SUM(J81:J82)</f>
        <v>9310095</v>
      </c>
    </row>
    <row r="84" spans="1:10" s="23" customFormat="1" ht="13.5" thickBot="1">
      <c r="A84" s="214" t="s">
        <v>104</v>
      </c>
      <c r="B84" s="181">
        <f>B61+B68+B71+B72+B75+B76+B77+B78+B79+B83</f>
        <v>0</v>
      </c>
      <c r="C84" s="955">
        <v>636987902</v>
      </c>
      <c r="D84" s="955">
        <f t="shared" si="14"/>
        <v>528123368</v>
      </c>
      <c r="E84" s="984">
        <f>E61+E68+E71+E72+E75+E76+E77+E78+E79+E83</f>
        <v>7705027</v>
      </c>
      <c r="F84" s="1011">
        <f>F61+F68+F71+F72+F75+F76+F77+F78+F79+F83</f>
        <v>58926244</v>
      </c>
      <c r="G84" s="985">
        <f>G61+G68+G71+G72+G75+G76+G77+G78+G79+G83</f>
        <v>13195675</v>
      </c>
      <c r="H84" s="985">
        <f>H61+H68+H71+H72+H75+H76+H77+H78+H79+H83</f>
        <v>54685</v>
      </c>
      <c r="I84" s="985">
        <f>I61+I68+I71+I72+I75+I76+I77+I78+I79+I83</f>
        <v>175054224</v>
      </c>
      <c r="J84" s="986">
        <f>J61+J68+J71+J72+J75+J76+J77+J78+J79+J83+J80</f>
        <v>273187513</v>
      </c>
    </row>
    <row r="85" spans="1:10" s="8" customFormat="1" ht="12.75" thickBot="1">
      <c r="A85" s="208" t="s">
        <v>205</v>
      </c>
      <c r="B85" s="183">
        <v>0</v>
      </c>
      <c r="C85" s="944">
        <v>0</v>
      </c>
      <c r="D85" s="944">
        <f t="shared" si="14"/>
        <v>0</v>
      </c>
      <c r="E85" s="999"/>
      <c r="F85" s="999"/>
      <c r="G85" s="1000"/>
      <c r="H85" s="1000"/>
      <c r="I85" s="1000"/>
      <c r="J85" s="1001"/>
    </row>
    <row r="86" spans="1:10" ht="12">
      <c r="A86" s="304" t="s">
        <v>864</v>
      </c>
      <c r="B86" s="179">
        <v>0</v>
      </c>
      <c r="C86" s="948">
        <v>0</v>
      </c>
      <c r="D86" s="948">
        <f t="shared" si="14"/>
        <v>426000</v>
      </c>
      <c r="E86" s="987"/>
      <c r="F86" s="987"/>
      <c r="G86" s="988"/>
      <c r="H86" s="988"/>
      <c r="I86" s="988"/>
      <c r="J86" s="945">
        <v>426000</v>
      </c>
    </row>
    <row r="87" spans="1:10" ht="12.75" thickBot="1">
      <c r="A87" s="202" t="s">
        <v>5</v>
      </c>
      <c r="B87" s="178"/>
      <c r="C87" s="949">
        <v>0</v>
      </c>
      <c r="D87" s="949">
        <f t="shared" si="14"/>
        <v>49213</v>
      </c>
      <c r="E87" s="982">
        <v>49213</v>
      </c>
      <c r="F87" s="982"/>
      <c r="G87" s="983"/>
      <c r="H87" s="983"/>
      <c r="I87" s="983"/>
      <c r="J87" s="992"/>
    </row>
    <row r="88" spans="1:10" ht="12.75" thickBot="1">
      <c r="A88" s="208" t="s">
        <v>206</v>
      </c>
      <c r="B88" s="183">
        <f aca="true" t="shared" si="15" ref="B88:J88">SUM(B86:B87)</f>
        <v>0</v>
      </c>
      <c r="C88" s="944">
        <v>0</v>
      </c>
      <c r="D88" s="944">
        <f t="shared" si="14"/>
        <v>475213</v>
      </c>
      <c r="E88" s="999">
        <f t="shared" si="15"/>
        <v>49213</v>
      </c>
      <c r="F88" s="999">
        <f t="shared" si="15"/>
        <v>0</v>
      </c>
      <c r="G88" s="1000">
        <f t="shared" si="15"/>
        <v>0</v>
      </c>
      <c r="H88" s="1000">
        <f t="shared" si="15"/>
        <v>0</v>
      </c>
      <c r="I88" s="1000">
        <f t="shared" si="15"/>
        <v>0</v>
      </c>
      <c r="J88" s="1001">
        <f t="shared" si="15"/>
        <v>426000</v>
      </c>
    </row>
    <row r="89" spans="1:10" s="8" customFormat="1" ht="12.75" thickBot="1">
      <c r="A89" s="213" t="s">
        <v>207</v>
      </c>
      <c r="B89" s="184">
        <v>0</v>
      </c>
      <c r="C89" s="956">
        <v>0</v>
      </c>
      <c r="D89" s="956">
        <f t="shared" si="14"/>
        <v>118110</v>
      </c>
      <c r="E89" s="1007"/>
      <c r="F89" s="1007"/>
      <c r="G89" s="1009"/>
      <c r="H89" s="1009"/>
      <c r="I89" s="1009"/>
      <c r="J89" s="1010">
        <v>118110</v>
      </c>
    </row>
    <row r="90" spans="1:10" s="8" customFormat="1" ht="12.75" thickBot="1">
      <c r="A90" s="208" t="s">
        <v>331</v>
      </c>
      <c r="B90" s="183">
        <v>0</v>
      </c>
      <c r="C90" s="944">
        <v>0</v>
      </c>
      <c r="D90" s="944">
        <f t="shared" si="14"/>
        <v>0</v>
      </c>
      <c r="E90" s="999"/>
      <c r="F90" s="999"/>
      <c r="G90" s="1000"/>
      <c r="H90" s="1000"/>
      <c r="I90" s="1000"/>
      <c r="J90" s="1001"/>
    </row>
    <row r="91" spans="1:10" s="23" customFormat="1" ht="13.5" thickBot="1">
      <c r="A91" s="214" t="s">
        <v>148</v>
      </c>
      <c r="B91" s="181">
        <f aca="true" t="shared" si="16" ref="B91:J91">B85+B88+B89+B90</f>
        <v>0</v>
      </c>
      <c r="C91" s="957">
        <v>0</v>
      </c>
      <c r="D91" s="957">
        <f t="shared" si="14"/>
        <v>593323</v>
      </c>
      <c r="E91" s="1012">
        <f t="shared" si="16"/>
        <v>49213</v>
      </c>
      <c r="F91" s="1012">
        <f t="shared" si="16"/>
        <v>0</v>
      </c>
      <c r="G91" s="1013">
        <f t="shared" si="16"/>
        <v>0</v>
      </c>
      <c r="H91" s="1013">
        <f t="shared" si="16"/>
        <v>0</v>
      </c>
      <c r="I91" s="1013">
        <f t="shared" si="16"/>
        <v>0</v>
      </c>
      <c r="J91" s="1014">
        <f t="shared" si="16"/>
        <v>544110</v>
      </c>
    </row>
    <row r="92" spans="1:10" s="8" customFormat="1" ht="12.75" thickBot="1">
      <c r="A92" s="208" t="s">
        <v>208</v>
      </c>
      <c r="B92" s="183">
        <v>0</v>
      </c>
      <c r="C92" s="944">
        <v>0</v>
      </c>
      <c r="D92" s="944">
        <f t="shared" si="14"/>
        <v>0</v>
      </c>
      <c r="E92" s="999"/>
      <c r="F92" s="999"/>
      <c r="G92" s="1000"/>
      <c r="H92" s="1000"/>
      <c r="I92" s="1000"/>
      <c r="J92" s="1001"/>
    </row>
    <row r="93" spans="1:10" s="8" customFormat="1" ht="12.75" thickBot="1">
      <c r="A93" s="208" t="s">
        <v>723</v>
      </c>
      <c r="B93" s="183">
        <v>0</v>
      </c>
      <c r="C93" s="944">
        <v>0</v>
      </c>
      <c r="D93" s="944">
        <f t="shared" si="14"/>
        <v>0</v>
      </c>
      <c r="E93" s="999"/>
      <c r="F93" s="999"/>
      <c r="G93" s="1000"/>
      <c r="H93" s="1000"/>
      <c r="I93" s="1000"/>
      <c r="J93" s="1001"/>
    </row>
    <row r="94" spans="1:10" s="10" customFormat="1" ht="12.75">
      <c r="A94" s="598" t="s">
        <v>675</v>
      </c>
      <c r="B94" s="179">
        <v>0</v>
      </c>
      <c r="C94" s="958">
        <v>0</v>
      </c>
      <c r="D94" s="948">
        <f t="shared" si="14"/>
        <v>0</v>
      </c>
      <c r="E94" s="987"/>
      <c r="F94" s="987"/>
      <c r="G94" s="988"/>
      <c r="H94" s="988"/>
      <c r="I94" s="988"/>
      <c r="J94" s="958"/>
    </row>
    <row r="95" spans="1:10" s="10" customFormat="1" ht="12.75">
      <c r="A95" s="598" t="s">
        <v>865</v>
      </c>
      <c r="B95" s="177"/>
      <c r="C95" s="958">
        <v>0</v>
      </c>
      <c r="D95" s="947">
        <f t="shared" si="14"/>
        <v>400000</v>
      </c>
      <c r="E95" s="980"/>
      <c r="F95" s="980"/>
      <c r="G95" s="981"/>
      <c r="H95" s="981"/>
      <c r="I95" s="981"/>
      <c r="J95" s="958">
        <v>400000</v>
      </c>
    </row>
    <row r="96" spans="1:10" s="10" customFormat="1" ht="12.75" thickBot="1">
      <c r="A96" s="207" t="s">
        <v>691</v>
      </c>
      <c r="B96" s="178">
        <v>0</v>
      </c>
      <c r="C96" s="949">
        <v>40229130</v>
      </c>
      <c r="D96" s="949">
        <f t="shared" si="14"/>
        <v>0</v>
      </c>
      <c r="E96" s="982"/>
      <c r="F96" s="982"/>
      <c r="G96" s="983"/>
      <c r="H96" s="983"/>
      <c r="I96" s="983"/>
      <c r="J96" s="992"/>
    </row>
    <row r="97" spans="1:10" ht="12.75" thickBot="1">
      <c r="A97" s="208" t="s">
        <v>209</v>
      </c>
      <c r="B97" s="183">
        <f>SUM(B94:B96)</f>
        <v>0</v>
      </c>
      <c r="C97" s="951">
        <f>SUM(C94:C96)</f>
        <v>40229130</v>
      </c>
      <c r="D97" s="951">
        <f t="shared" si="14"/>
        <v>400000</v>
      </c>
      <c r="E97" s="999">
        <f aca="true" t="shared" si="17" ref="E97:J97">SUM(E94:E96)</f>
        <v>0</v>
      </c>
      <c r="F97" s="999">
        <f t="shared" si="17"/>
        <v>0</v>
      </c>
      <c r="G97" s="1000">
        <f t="shared" si="17"/>
        <v>0</v>
      </c>
      <c r="H97" s="1000">
        <f t="shared" si="17"/>
        <v>0</v>
      </c>
      <c r="I97" s="1000">
        <f t="shared" si="17"/>
        <v>0</v>
      </c>
      <c r="J97" s="1001">
        <f t="shared" si="17"/>
        <v>400000</v>
      </c>
    </row>
    <row r="98" spans="1:10" s="23" customFormat="1" ht="12.75" thickBot="1">
      <c r="A98" s="203" t="s">
        <v>149</v>
      </c>
      <c r="B98" s="190">
        <f>B92+B97</f>
        <v>0</v>
      </c>
      <c r="C98" s="951">
        <v>40229130</v>
      </c>
      <c r="D98" s="951">
        <f t="shared" si="14"/>
        <v>400000</v>
      </c>
      <c r="E98" s="984">
        <f aca="true" t="shared" si="18" ref="E98:J98">E92+E97</f>
        <v>0</v>
      </c>
      <c r="F98" s="984">
        <f t="shared" si="18"/>
        <v>0</v>
      </c>
      <c r="G98" s="985">
        <f t="shared" si="18"/>
        <v>0</v>
      </c>
      <c r="H98" s="985">
        <f t="shared" si="18"/>
        <v>0</v>
      </c>
      <c r="I98" s="985">
        <f t="shared" si="18"/>
        <v>0</v>
      </c>
      <c r="J98" s="986">
        <f t="shared" si="18"/>
        <v>400000</v>
      </c>
    </row>
    <row r="99" spans="1:10" s="10" customFormat="1" ht="12">
      <c r="A99" s="204" t="s">
        <v>212</v>
      </c>
      <c r="B99" s="179"/>
      <c r="C99" s="948">
        <v>2327340</v>
      </c>
      <c r="D99" s="948">
        <f t="shared" si="14"/>
        <v>2327340</v>
      </c>
      <c r="E99" s="987">
        <v>2327340</v>
      </c>
      <c r="F99" s="987"/>
      <c r="G99" s="988"/>
      <c r="H99" s="988"/>
      <c r="I99" s="988"/>
      <c r="J99" s="945"/>
    </row>
    <row r="100" spans="1:10" s="10" customFormat="1" ht="12.75" thickBot="1">
      <c r="A100" s="212"/>
      <c r="B100" s="177"/>
      <c r="C100" s="947"/>
      <c r="D100" s="947"/>
      <c r="E100" s="980"/>
      <c r="F100" s="980"/>
      <c r="G100" s="981"/>
      <c r="H100" s="981"/>
      <c r="I100" s="981"/>
      <c r="J100" s="952"/>
    </row>
    <row r="101" spans="1:10" s="10" customFormat="1" ht="12.75" hidden="1" thickBot="1">
      <c r="A101" s="215"/>
      <c r="B101" s="178">
        <v>0</v>
      </c>
      <c r="C101" s="949">
        <f>SUM(D101:I101)</f>
        <v>0</v>
      </c>
      <c r="D101" s="949">
        <f>SUM(E101:J101)</f>
        <v>0</v>
      </c>
      <c r="E101" s="982"/>
      <c r="F101" s="982"/>
      <c r="G101" s="983"/>
      <c r="H101" s="983"/>
      <c r="I101" s="983"/>
      <c r="J101" s="992"/>
    </row>
    <row r="102" spans="1:10" s="9" customFormat="1" ht="12.75" thickBot="1">
      <c r="A102" s="208" t="s">
        <v>219</v>
      </c>
      <c r="B102" s="183">
        <f>SUM(B99:B101)</f>
        <v>0</v>
      </c>
      <c r="C102" s="951">
        <v>2327340</v>
      </c>
      <c r="D102" s="951">
        <f>SUM(E102:J102)</f>
        <v>2327340</v>
      </c>
      <c r="E102" s="999">
        <f aca="true" t="shared" si="19" ref="E102:J102">SUM(E99:E101)</f>
        <v>2327340</v>
      </c>
      <c r="F102" s="999">
        <f t="shared" si="19"/>
        <v>0</v>
      </c>
      <c r="G102" s="1000">
        <f t="shared" si="19"/>
        <v>0</v>
      </c>
      <c r="H102" s="1000">
        <f t="shared" si="19"/>
        <v>0</v>
      </c>
      <c r="I102" s="1000">
        <f t="shared" si="19"/>
        <v>0</v>
      </c>
      <c r="J102" s="1001">
        <f t="shared" si="19"/>
        <v>0</v>
      </c>
    </row>
    <row r="103" spans="1:10" s="9" customFormat="1" ht="12">
      <c r="A103" s="212" t="s">
        <v>478</v>
      </c>
      <c r="B103" s="319"/>
      <c r="C103" s="959">
        <v>0</v>
      </c>
      <c r="D103" s="959">
        <f>SUM(E103:J103)</f>
        <v>42391</v>
      </c>
      <c r="E103" s="1015"/>
      <c r="F103" s="961"/>
      <c r="G103" s="961"/>
      <c r="H103" s="961"/>
      <c r="I103" s="961"/>
      <c r="J103" s="1016">
        <v>42391</v>
      </c>
    </row>
    <row r="104" spans="1:10" s="10" customFormat="1" ht="12.75" thickBot="1">
      <c r="A104" s="318" t="s">
        <v>527</v>
      </c>
      <c r="B104" s="320"/>
      <c r="C104" s="960">
        <v>0</v>
      </c>
      <c r="D104" s="960">
        <f>SUM(E104:J104)</f>
        <v>60959896</v>
      </c>
      <c r="E104" s="1017"/>
      <c r="F104" s="1017"/>
      <c r="G104" s="1018"/>
      <c r="H104" s="1018"/>
      <c r="I104" s="1018"/>
      <c r="J104" s="1019">
        <v>60959896</v>
      </c>
    </row>
    <row r="105" spans="1:10" s="9" customFormat="1" ht="12.75" hidden="1">
      <c r="A105" s="307"/>
      <c r="B105" s="305"/>
      <c r="C105" s="961"/>
      <c r="D105" s="961"/>
      <c r="E105" s="769"/>
      <c r="F105" s="769"/>
      <c r="G105" s="769"/>
      <c r="H105" s="769"/>
      <c r="I105" s="769"/>
      <c r="J105" s="1020"/>
    </row>
    <row r="106" spans="1:10" s="9" customFormat="1" ht="12.75" hidden="1">
      <c r="A106" s="307"/>
      <c r="B106" s="305"/>
      <c r="C106" s="769"/>
      <c r="D106" s="769"/>
      <c r="E106" s="769"/>
      <c r="F106" s="769"/>
      <c r="G106" s="769"/>
      <c r="H106" s="769"/>
      <c r="I106" s="769"/>
      <c r="J106" s="1020"/>
    </row>
    <row r="107" spans="1:10" s="10" customFormat="1" ht="13.5" hidden="1" thickBot="1">
      <c r="A107" s="307"/>
      <c r="B107" s="306"/>
      <c r="C107" s="962"/>
      <c r="D107" s="962"/>
      <c r="E107" s="962"/>
      <c r="F107" s="962"/>
      <c r="G107" s="962"/>
      <c r="H107" s="962"/>
      <c r="I107" s="962"/>
      <c r="J107" s="1021"/>
    </row>
    <row r="108" spans="1:10" s="9" customFormat="1" ht="12.75" thickBot="1">
      <c r="A108" s="203" t="s">
        <v>481</v>
      </c>
      <c r="B108" s="183">
        <f>SUM(B107:B107)</f>
        <v>0</v>
      </c>
      <c r="C108" s="951">
        <v>0</v>
      </c>
      <c r="D108" s="951">
        <f>SUM(E108:J108)</f>
        <v>61002287</v>
      </c>
      <c r="E108" s="1001">
        <f aca="true" t="shared" si="20" ref="E108:J108">SUM(E103:E107)</f>
        <v>0</v>
      </c>
      <c r="F108" s="1001">
        <f t="shared" si="20"/>
        <v>0</v>
      </c>
      <c r="G108" s="1001">
        <f t="shared" si="20"/>
        <v>0</v>
      </c>
      <c r="H108" s="1001">
        <f t="shared" si="20"/>
        <v>0</v>
      </c>
      <c r="I108" s="1001">
        <f t="shared" si="20"/>
        <v>0</v>
      </c>
      <c r="J108" s="1001">
        <f t="shared" si="20"/>
        <v>61002287</v>
      </c>
    </row>
    <row r="109" spans="1:10" s="11" customFormat="1" ht="12.75" thickBot="1">
      <c r="A109" s="203" t="s">
        <v>227</v>
      </c>
      <c r="B109" s="190">
        <f>B102+B108</f>
        <v>0</v>
      </c>
      <c r="C109" s="951">
        <v>2327340</v>
      </c>
      <c r="D109" s="951">
        <f>SUM(E109:J109)</f>
        <v>63329627</v>
      </c>
      <c r="E109" s="984">
        <f aca="true" t="shared" si="21" ref="E109:J109">E102+E108</f>
        <v>2327340</v>
      </c>
      <c r="F109" s="984">
        <f t="shared" si="21"/>
        <v>0</v>
      </c>
      <c r="G109" s="985">
        <f t="shared" si="21"/>
        <v>0</v>
      </c>
      <c r="H109" s="985">
        <f t="shared" si="21"/>
        <v>0</v>
      </c>
      <c r="I109" s="985">
        <f t="shared" si="21"/>
        <v>0</v>
      </c>
      <c r="J109" s="986">
        <f t="shared" si="21"/>
        <v>61002287</v>
      </c>
    </row>
    <row r="110" spans="1:10" s="11" customFormat="1" ht="12">
      <c r="A110" s="216"/>
      <c r="B110" s="182"/>
      <c r="C110" s="963"/>
      <c r="D110" s="963"/>
      <c r="E110" s="1022"/>
      <c r="F110" s="1022"/>
      <c r="G110" s="1023"/>
      <c r="H110" s="1023"/>
      <c r="I110" s="1023"/>
      <c r="J110" s="1023"/>
    </row>
    <row r="111" spans="1:10" s="11" customFormat="1" ht="12">
      <c r="A111" s="609"/>
      <c r="B111" s="610"/>
      <c r="C111" s="964"/>
      <c r="D111" s="964"/>
      <c r="E111" s="964"/>
      <c r="F111" s="964"/>
      <c r="G111" s="964"/>
      <c r="H111" s="964"/>
      <c r="I111" s="964"/>
      <c r="J111" s="964"/>
    </row>
    <row r="112" spans="1:10" s="612" customFormat="1" ht="12">
      <c r="A112" s="454" t="s">
        <v>693</v>
      </c>
      <c r="B112" s="611"/>
      <c r="C112" s="965">
        <v>16278000</v>
      </c>
      <c r="D112" s="965">
        <f>SUM(E112:J112)</f>
        <v>4360111</v>
      </c>
      <c r="E112" s="965"/>
      <c r="F112" s="965"/>
      <c r="G112" s="965"/>
      <c r="H112" s="965"/>
      <c r="I112" s="965"/>
      <c r="J112" s="965">
        <v>4360111</v>
      </c>
    </row>
    <row r="113" spans="1:10" s="612" customFormat="1" ht="12.75" thickBot="1">
      <c r="A113" s="207" t="s">
        <v>692</v>
      </c>
      <c r="B113" s="613"/>
      <c r="C113" s="966">
        <v>48434073</v>
      </c>
      <c r="D113" s="965">
        <f>SUM(E113:J113)</f>
        <v>48434073</v>
      </c>
      <c r="E113" s="966"/>
      <c r="F113" s="966"/>
      <c r="G113" s="966"/>
      <c r="H113" s="966"/>
      <c r="I113" s="966"/>
      <c r="J113" s="966">
        <v>48434073</v>
      </c>
    </row>
    <row r="114" spans="1:10" s="9" customFormat="1" ht="12.75" thickBot="1">
      <c r="A114" s="208" t="s">
        <v>213</v>
      </c>
      <c r="B114" s="183">
        <v>0</v>
      </c>
      <c r="C114" s="951">
        <f>C113+C112</f>
        <v>64712073</v>
      </c>
      <c r="D114" s="951">
        <f aca="true" t="shared" si="22" ref="D114:D124">SUM(E114:J114)</f>
        <v>52794184</v>
      </c>
      <c r="E114" s="999"/>
      <c r="F114" s="999"/>
      <c r="G114" s="1000"/>
      <c r="H114" s="1000"/>
      <c r="I114" s="1000"/>
      <c r="J114" s="1001">
        <f>J112+J113</f>
        <v>52794184</v>
      </c>
    </row>
    <row r="115" spans="1:10" ht="12.75" thickBot="1">
      <c r="A115" s="213" t="s">
        <v>214</v>
      </c>
      <c r="B115" s="184">
        <v>0</v>
      </c>
      <c r="C115" s="967">
        <v>0</v>
      </c>
      <c r="D115" s="967">
        <f t="shared" si="22"/>
        <v>0</v>
      </c>
      <c r="E115" s="1007"/>
      <c r="F115" s="1007"/>
      <c r="G115" s="1009"/>
      <c r="H115" s="1009"/>
      <c r="I115" s="1009"/>
      <c r="J115" s="1010"/>
    </row>
    <row r="116" spans="1:10" s="8" customFormat="1" ht="12.75" thickBot="1">
      <c r="A116" s="208" t="s">
        <v>25</v>
      </c>
      <c r="B116" s="183">
        <v>0</v>
      </c>
      <c r="C116" s="951">
        <v>0</v>
      </c>
      <c r="D116" s="951">
        <f t="shared" si="22"/>
        <v>0</v>
      </c>
      <c r="E116" s="999"/>
      <c r="F116" s="999"/>
      <c r="G116" s="1000"/>
      <c r="H116" s="1000"/>
      <c r="I116" s="1000"/>
      <c r="J116" s="1001"/>
    </row>
    <row r="117" spans="1:10" s="8" customFormat="1" ht="12.75" thickBot="1">
      <c r="A117" s="208" t="s">
        <v>215</v>
      </c>
      <c r="B117" s="183">
        <v>0</v>
      </c>
      <c r="C117" s="951">
        <v>0</v>
      </c>
      <c r="D117" s="951">
        <f t="shared" si="22"/>
        <v>0</v>
      </c>
      <c r="E117" s="999"/>
      <c r="F117" s="999"/>
      <c r="G117" s="1000"/>
      <c r="H117" s="1000"/>
      <c r="I117" s="1000"/>
      <c r="J117" s="1001"/>
    </row>
    <row r="118" spans="1:10" ht="12">
      <c r="A118" s="222" t="s">
        <v>754</v>
      </c>
      <c r="B118" s="179">
        <v>0</v>
      </c>
      <c r="C118" s="968">
        <v>3000000</v>
      </c>
      <c r="D118" s="968">
        <f t="shared" si="22"/>
        <v>212562</v>
      </c>
      <c r="E118" s="1002"/>
      <c r="F118" s="1002"/>
      <c r="G118" s="1088"/>
      <c r="H118" s="988"/>
      <c r="I118" s="988"/>
      <c r="J118" s="945">
        <v>212562</v>
      </c>
    </row>
    <row r="119" spans="1:10" ht="12">
      <c r="A119" s="222" t="s">
        <v>827</v>
      </c>
      <c r="B119" s="179"/>
      <c r="C119" s="968">
        <v>389043</v>
      </c>
      <c r="D119" s="968">
        <f t="shared" si="22"/>
        <v>389043</v>
      </c>
      <c r="E119" s="1002">
        <v>389043</v>
      </c>
      <c r="F119" s="1002"/>
      <c r="G119" s="1088"/>
      <c r="H119" s="988"/>
      <c r="I119" s="988"/>
      <c r="J119" s="945"/>
    </row>
    <row r="120" spans="1:10" ht="12">
      <c r="A120" s="222" t="s">
        <v>828</v>
      </c>
      <c r="B120" s="179"/>
      <c r="C120" s="968">
        <v>40845</v>
      </c>
      <c r="D120" s="968">
        <f t="shared" si="22"/>
        <v>40845</v>
      </c>
      <c r="E120" s="1002"/>
      <c r="F120" s="1002"/>
      <c r="G120" s="1088">
        <v>40845</v>
      </c>
      <c r="H120" s="988"/>
      <c r="I120" s="988"/>
      <c r="J120" s="945"/>
    </row>
    <row r="121" spans="1:10" ht="12">
      <c r="A121" s="205" t="s">
        <v>229</v>
      </c>
      <c r="B121" s="177">
        <v>0</v>
      </c>
      <c r="C121" s="969">
        <v>243034</v>
      </c>
      <c r="D121" s="968">
        <f t="shared" si="22"/>
        <v>243034</v>
      </c>
      <c r="E121" s="1003"/>
      <c r="F121" s="1003"/>
      <c r="G121" s="1089"/>
      <c r="H121" s="981"/>
      <c r="I121" s="981"/>
      <c r="J121" s="946">
        <v>243034</v>
      </c>
    </row>
    <row r="122" spans="1:10" s="10" customFormat="1" ht="12">
      <c r="A122" s="218" t="s">
        <v>676</v>
      </c>
      <c r="B122" s="177"/>
      <c r="C122" s="969">
        <v>900000</v>
      </c>
      <c r="D122" s="973">
        <f t="shared" si="22"/>
        <v>900000</v>
      </c>
      <c r="E122" s="980"/>
      <c r="F122" s="980"/>
      <c r="G122" s="981"/>
      <c r="H122" s="981"/>
      <c r="I122" s="981"/>
      <c r="J122" s="946">
        <v>900000</v>
      </c>
    </row>
    <row r="123" spans="1:10" s="10" customFormat="1" ht="12">
      <c r="A123" s="205" t="s">
        <v>291</v>
      </c>
      <c r="B123" s="177">
        <v>0</v>
      </c>
      <c r="C123" s="970">
        <v>19217166</v>
      </c>
      <c r="D123" s="973">
        <f t="shared" si="22"/>
        <v>8143647</v>
      </c>
      <c r="E123" s="980"/>
      <c r="F123" s="980"/>
      <c r="G123" s="981"/>
      <c r="H123" s="981"/>
      <c r="I123" s="981"/>
      <c r="J123" s="942">
        <v>8143647</v>
      </c>
    </row>
    <row r="124" spans="1:10" s="10" customFormat="1" ht="12">
      <c r="A124" s="215" t="s">
        <v>290</v>
      </c>
      <c r="B124" s="178"/>
      <c r="C124" s="971">
        <v>144634364</v>
      </c>
      <c r="D124" s="972">
        <f t="shared" si="22"/>
        <v>152694614</v>
      </c>
      <c r="E124" s="982"/>
      <c r="F124" s="982"/>
      <c r="G124" s="983"/>
      <c r="H124" s="983"/>
      <c r="I124" s="983"/>
      <c r="J124" s="943">
        <v>152694614</v>
      </c>
    </row>
    <row r="125" spans="1:12" s="10" customFormat="1" ht="12.75" thickBot="1">
      <c r="A125" s="218" t="s">
        <v>498</v>
      </c>
      <c r="B125" s="177"/>
      <c r="C125" s="973">
        <v>0</v>
      </c>
      <c r="D125" s="973">
        <f aca="true" t="shared" si="23" ref="D125:D166">SUM(E125:J125)</f>
        <v>27050086</v>
      </c>
      <c r="E125" s="980"/>
      <c r="F125" s="980"/>
      <c r="G125" s="981"/>
      <c r="H125" s="981"/>
      <c r="I125" s="981"/>
      <c r="J125" s="942">
        <v>27050086</v>
      </c>
      <c r="L125" s="320"/>
    </row>
    <row r="126" spans="1:12" s="10" customFormat="1" ht="12.75" hidden="1" thickBot="1">
      <c r="A126" s="294"/>
      <c r="B126" s="180"/>
      <c r="C126" s="967">
        <v>0</v>
      </c>
      <c r="D126" s="973">
        <f t="shared" si="23"/>
        <v>0</v>
      </c>
      <c r="E126" s="1017"/>
      <c r="F126" s="1017"/>
      <c r="G126" s="1018"/>
      <c r="H126" s="1018"/>
      <c r="I126" s="1018"/>
      <c r="J126" s="1024"/>
      <c r="L126" s="320"/>
    </row>
    <row r="127" spans="1:10" s="9" customFormat="1" ht="12.75" thickBot="1">
      <c r="A127" s="208" t="s">
        <v>216</v>
      </c>
      <c r="B127" s="183">
        <f>SUM(B118:B125)</f>
        <v>0</v>
      </c>
      <c r="C127" s="951">
        <f>SUM(C118:C126)</f>
        <v>168424452</v>
      </c>
      <c r="D127" s="951">
        <f t="shared" si="23"/>
        <v>189673831</v>
      </c>
      <c r="E127" s="999">
        <f aca="true" t="shared" si="24" ref="E127:J127">SUM(E118:E126)</f>
        <v>389043</v>
      </c>
      <c r="F127" s="999">
        <f t="shared" si="24"/>
        <v>0</v>
      </c>
      <c r="G127" s="999">
        <f t="shared" si="24"/>
        <v>40845</v>
      </c>
      <c r="H127" s="999">
        <f t="shared" si="24"/>
        <v>0</v>
      </c>
      <c r="I127" s="999">
        <f t="shared" si="24"/>
        <v>0</v>
      </c>
      <c r="J127" s="999">
        <f t="shared" si="24"/>
        <v>189243943</v>
      </c>
    </row>
    <row r="128" spans="1:10" s="9" customFormat="1" ht="12.75" thickBot="1">
      <c r="A128" s="213" t="s">
        <v>217</v>
      </c>
      <c r="B128" s="184">
        <v>0</v>
      </c>
      <c r="C128" s="967">
        <v>0</v>
      </c>
      <c r="D128" s="967">
        <f t="shared" si="23"/>
        <v>0</v>
      </c>
      <c r="E128" s="1007"/>
      <c r="F128" s="1007"/>
      <c r="G128" s="1009"/>
      <c r="H128" s="1009"/>
      <c r="I128" s="1009"/>
      <c r="J128" s="1010"/>
    </row>
    <row r="129" spans="1:10" s="9" customFormat="1" ht="12.75" thickBot="1">
      <c r="A129" s="208" t="s">
        <v>218</v>
      </c>
      <c r="B129" s="183">
        <v>0</v>
      </c>
      <c r="C129" s="951">
        <v>0</v>
      </c>
      <c r="D129" s="951">
        <f t="shared" si="23"/>
        <v>0</v>
      </c>
      <c r="E129" s="999"/>
      <c r="F129" s="999"/>
      <c r="G129" s="1000"/>
      <c r="H129" s="1000"/>
      <c r="I129" s="1000"/>
      <c r="J129" s="1001"/>
    </row>
    <row r="130" spans="1:10" s="10" customFormat="1" ht="14.25" customHeight="1">
      <c r="A130" s="217" t="s">
        <v>26</v>
      </c>
      <c r="B130" s="179"/>
      <c r="C130" s="968">
        <v>4500000</v>
      </c>
      <c r="D130" s="968">
        <f t="shared" si="23"/>
        <v>7644256</v>
      </c>
      <c r="E130" s="987"/>
      <c r="F130" s="987"/>
      <c r="G130" s="988"/>
      <c r="H130" s="988"/>
      <c r="I130" s="988"/>
      <c r="J130" s="945">
        <f>4500000+326096+2818160</f>
        <v>7644256</v>
      </c>
    </row>
    <row r="131" spans="1:10" s="10" customFormat="1" ht="14.25" customHeight="1" hidden="1">
      <c r="A131" s="218" t="s">
        <v>592</v>
      </c>
      <c r="B131" s="177">
        <v>0</v>
      </c>
      <c r="C131" s="973">
        <v>0</v>
      </c>
      <c r="D131" s="973">
        <f t="shared" si="23"/>
        <v>0</v>
      </c>
      <c r="E131" s="980"/>
      <c r="F131" s="980"/>
      <c r="G131" s="981"/>
      <c r="H131" s="981"/>
      <c r="I131" s="981"/>
      <c r="J131" s="946"/>
    </row>
    <row r="132" spans="1:10" s="10" customFormat="1" ht="14.25" customHeight="1">
      <c r="A132" s="218" t="s">
        <v>900</v>
      </c>
      <c r="B132" s="177">
        <v>0</v>
      </c>
      <c r="C132" s="973">
        <v>0</v>
      </c>
      <c r="D132" s="973">
        <f t="shared" si="23"/>
        <v>180000</v>
      </c>
      <c r="E132" s="980"/>
      <c r="F132" s="980"/>
      <c r="G132" s="981"/>
      <c r="H132" s="981"/>
      <c r="I132" s="981"/>
      <c r="J132" s="946">
        <v>180000</v>
      </c>
    </row>
    <row r="133" spans="1:10" s="10" customFormat="1" ht="14.25" customHeight="1">
      <c r="A133" s="205" t="s">
        <v>27</v>
      </c>
      <c r="B133" s="177"/>
      <c r="C133" s="973">
        <v>500000</v>
      </c>
      <c r="D133" s="973">
        <f t="shared" si="23"/>
        <v>200000</v>
      </c>
      <c r="E133" s="980"/>
      <c r="F133" s="980"/>
      <c r="G133" s="981"/>
      <c r="H133" s="981"/>
      <c r="I133" s="981"/>
      <c r="J133" s="946">
        <v>200000</v>
      </c>
    </row>
    <row r="134" spans="1:10" s="10" customFormat="1" ht="14.25" customHeight="1">
      <c r="A134" s="294" t="s">
        <v>850</v>
      </c>
      <c r="B134" s="178"/>
      <c r="C134" s="972">
        <v>0</v>
      </c>
      <c r="D134" s="973">
        <f t="shared" si="23"/>
        <v>6817400</v>
      </c>
      <c r="E134" s="982"/>
      <c r="F134" s="982"/>
      <c r="G134" s="983"/>
      <c r="H134" s="983"/>
      <c r="I134" s="983"/>
      <c r="J134" s="992">
        <v>6817400</v>
      </c>
    </row>
    <row r="135" spans="1:10" s="10" customFormat="1" ht="14.25" customHeight="1">
      <c r="A135" s="294" t="s">
        <v>504</v>
      </c>
      <c r="B135" s="178"/>
      <c r="C135" s="972">
        <v>2400000</v>
      </c>
      <c r="D135" s="973">
        <f t="shared" si="23"/>
        <v>2400000</v>
      </c>
      <c r="E135" s="982"/>
      <c r="F135" s="982"/>
      <c r="G135" s="983"/>
      <c r="H135" s="983"/>
      <c r="I135" s="983"/>
      <c r="J135" s="992">
        <v>2400000</v>
      </c>
    </row>
    <row r="136" spans="1:10" s="10" customFormat="1" ht="14.25" customHeight="1" thickBot="1">
      <c r="A136" s="218" t="s">
        <v>755</v>
      </c>
      <c r="B136" s="198">
        <v>0</v>
      </c>
      <c r="C136" s="974">
        <v>13271000</v>
      </c>
      <c r="D136" s="973">
        <f t="shared" si="23"/>
        <v>13271000</v>
      </c>
      <c r="E136" s="1025"/>
      <c r="F136" s="1025"/>
      <c r="G136" s="1026"/>
      <c r="H136" s="1026"/>
      <c r="I136" s="1026"/>
      <c r="J136" s="1027">
        <v>13271000</v>
      </c>
    </row>
    <row r="137" spans="1:10" s="9" customFormat="1" ht="14.25" customHeight="1" thickBot="1">
      <c r="A137" s="219" t="s">
        <v>28</v>
      </c>
      <c r="B137" s="183">
        <f>SUM(B130:B136)</f>
        <v>0</v>
      </c>
      <c r="C137" s="951">
        <f>SUM(C130:C136)</f>
        <v>20671000</v>
      </c>
      <c r="D137" s="951">
        <f t="shared" si="23"/>
        <v>30512656</v>
      </c>
      <c r="E137" s="999">
        <f aca="true" t="shared" si="25" ref="E137:J137">SUM(E130:E136)</f>
        <v>0</v>
      </c>
      <c r="F137" s="999">
        <f t="shared" si="25"/>
        <v>0</v>
      </c>
      <c r="G137" s="1000">
        <f t="shared" si="25"/>
        <v>0</v>
      </c>
      <c r="H137" s="1000">
        <f t="shared" si="25"/>
        <v>0</v>
      </c>
      <c r="I137" s="1000">
        <f t="shared" si="25"/>
        <v>0</v>
      </c>
      <c r="J137" s="1001">
        <f t="shared" si="25"/>
        <v>30512656</v>
      </c>
    </row>
    <row r="138" spans="1:10" s="9" customFormat="1" ht="14.25" customHeight="1" thickBot="1">
      <c r="A138" s="220" t="s">
        <v>107</v>
      </c>
      <c r="B138" s="184"/>
      <c r="C138" s="967">
        <v>101784403</v>
      </c>
      <c r="D138" s="967">
        <f t="shared" si="23"/>
        <v>388799279</v>
      </c>
      <c r="E138" s="1007"/>
      <c r="F138" s="1007"/>
      <c r="G138" s="1009"/>
      <c r="H138" s="1009"/>
      <c r="I138" s="1009"/>
      <c r="J138" s="1028">
        <f>385156733+3642546</f>
        <v>388799279</v>
      </c>
    </row>
    <row r="139" spans="1:12" s="11" customFormat="1" ht="14.25" customHeight="1" thickBot="1">
      <c r="A139" s="221" t="s">
        <v>29</v>
      </c>
      <c r="B139" s="190">
        <f>B114+B115+B116+B117+B127+B128+B129+B137+B138</f>
        <v>0</v>
      </c>
      <c r="C139" s="951">
        <v>355591928</v>
      </c>
      <c r="D139" s="951">
        <f t="shared" si="23"/>
        <v>661779950</v>
      </c>
      <c r="E139" s="984">
        <f aca="true" t="shared" si="26" ref="E139:J139">E114+E115+E116+E117+E127+E128+E129+E137+E138</f>
        <v>389043</v>
      </c>
      <c r="F139" s="984">
        <f t="shared" si="26"/>
        <v>0</v>
      </c>
      <c r="G139" s="985">
        <f t="shared" si="26"/>
        <v>40845</v>
      </c>
      <c r="H139" s="985">
        <f t="shared" si="26"/>
        <v>0</v>
      </c>
      <c r="I139" s="985">
        <f t="shared" si="26"/>
        <v>0</v>
      </c>
      <c r="J139" s="986">
        <f t="shared" si="26"/>
        <v>661350062</v>
      </c>
      <c r="L139" s="582"/>
    </row>
    <row r="140" spans="1:10" s="9" customFormat="1" ht="14.25" customHeight="1" thickBot="1">
      <c r="A140" s="213" t="s">
        <v>30</v>
      </c>
      <c r="B140" s="184">
        <v>0</v>
      </c>
      <c r="C140" s="967">
        <v>0</v>
      </c>
      <c r="D140" s="967">
        <f t="shared" si="23"/>
        <v>0</v>
      </c>
      <c r="E140" s="1007"/>
      <c r="F140" s="1007"/>
      <c r="G140" s="1009"/>
      <c r="H140" s="1009"/>
      <c r="I140" s="1009"/>
      <c r="J140" s="1010"/>
    </row>
    <row r="141" spans="1:10" s="9" customFormat="1" ht="14.25" customHeight="1" thickBot="1">
      <c r="A141" s="208" t="s">
        <v>31</v>
      </c>
      <c r="B141" s="183"/>
      <c r="C141" s="951">
        <v>0</v>
      </c>
      <c r="D141" s="951">
        <f t="shared" si="23"/>
        <v>0</v>
      </c>
      <c r="E141" s="999"/>
      <c r="F141" s="999"/>
      <c r="G141" s="1000"/>
      <c r="H141" s="1000"/>
      <c r="I141" s="1000"/>
      <c r="J141" s="1001"/>
    </row>
    <row r="142" spans="1:10" s="9" customFormat="1" ht="14.25" customHeight="1" thickBot="1">
      <c r="A142" s="208" t="s">
        <v>268</v>
      </c>
      <c r="B142" s="183">
        <v>0</v>
      </c>
      <c r="C142" s="951">
        <v>0</v>
      </c>
      <c r="D142" s="951">
        <f t="shared" si="23"/>
        <v>0</v>
      </c>
      <c r="E142" s="999"/>
      <c r="F142" s="999"/>
      <c r="G142" s="1000"/>
      <c r="H142" s="1000"/>
      <c r="I142" s="1000"/>
      <c r="J142" s="1029"/>
    </row>
    <row r="143" spans="1:10" s="10" customFormat="1" ht="12">
      <c r="A143" s="222" t="s">
        <v>829</v>
      </c>
      <c r="B143" s="179">
        <v>0</v>
      </c>
      <c r="C143" s="968">
        <v>17000000</v>
      </c>
      <c r="D143" s="968">
        <f t="shared" si="23"/>
        <v>17000000</v>
      </c>
      <c r="E143" s="987"/>
      <c r="F143" s="987"/>
      <c r="G143" s="988"/>
      <c r="H143" s="988"/>
      <c r="I143" s="988"/>
      <c r="J143" s="1090">
        <v>17000000</v>
      </c>
    </row>
    <row r="144" spans="1:10" s="10" customFormat="1" ht="12">
      <c r="A144" s="218" t="s">
        <v>775</v>
      </c>
      <c r="B144" s="177">
        <v>0</v>
      </c>
      <c r="C144" s="973">
        <v>14000000</v>
      </c>
      <c r="D144" s="973">
        <f t="shared" si="23"/>
        <v>14000000</v>
      </c>
      <c r="E144" s="980"/>
      <c r="F144" s="980"/>
      <c r="G144" s="981"/>
      <c r="H144" s="981"/>
      <c r="I144" s="981"/>
      <c r="J144" s="942">
        <v>14000000</v>
      </c>
    </row>
    <row r="145" spans="1:10" s="10" customFormat="1" ht="12">
      <c r="A145" s="294" t="s">
        <v>902</v>
      </c>
      <c r="B145" s="178"/>
      <c r="C145" s="972"/>
      <c r="D145" s="973">
        <f t="shared" si="23"/>
        <v>1000000</v>
      </c>
      <c r="E145" s="982"/>
      <c r="F145" s="982"/>
      <c r="G145" s="983"/>
      <c r="H145" s="983"/>
      <c r="I145" s="983"/>
      <c r="J145" s="943">
        <v>1000000</v>
      </c>
    </row>
    <row r="146" spans="1:10" s="10" customFormat="1" ht="12">
      <c r="A146" s="294" t="s">
        <v>903</v>
      </c>
      <c r="B146" s="178"/>
      <c r="C146" s="972"/>
      <c r="D146" s="973">
        <f t="shared" si="23"/>
        <v>300000</v>
      </c>
      <c r="E146" s="982"/>
      <c r="F146" s="982"/>
      <c r="G146" s="983"/>
      <c r="H146" s="983"/>
      <c r="I146" s="983"/>
      <c r="J146" s="943">
        <v>300000</v>
      </c>
    </row>
    <row r="147" spans="1:10" s="10" customFormat="1" ht="14.25" customHeight="1" thickBot="1">
      <c r="A147" s="294" t="s">
        <v>901</v>
      </c>
      <c r="B147" s="178">
        <v>0</v>
      </c>
      <c r="C147" s="972">
        <f>SUM(D147:I147)</f>
        <v>80000</v>
      </c>
      <c r="D147" s="972">
        <f t="shared" si="23"/>
        <v>80000</v>
      </c>
      <c r="E147" s="982"/>
      <c r="F147" s="982"/>
      <c r="G147" s="983"/>
      <c r="H147" s="983"/>
      <c r="I147" s="983"/>
      <c r="J147" s="992">
        <v>80000</v>
      </c>
    </row>
    <row r="148" spans="1:10" s="9" customFormat="1" ht="14.25" customHeight="1" thickBot="1">
      <c r="A148" s="208" t="s">
        <v>32</v>
      </c>
      <c r="B148" s="183">
        <v>0</v>
      </c>
      <c r="C148" s="951">
        <v>31000000</v>
      </c>
      <c r="D148" s="951">
        <f t="shared" si="23"/>
        <v>32380000</v>
      </c>
      <c r="E148" s="999">
        <f aca="true" t="shared" si="27" ref="E148:J148">SUM(E143:E147)</f>
        <v>0</v>
      </c>
      <c r="F148" s="999">
        <f t="shared" si="27"/>
        <v>0</v>
      </c>
      <c r="G148" s="1000">
        <f t="shared" si="27"/>
        <v>0</v>
      </c>
      <c r="H148" s="1000">
        <f t="shared" si="27"/>
        <v>0</v>
      </c>
      <c r="I148" s="1000">
        <f t="shared" si="27"/>
        <v>0</v>
      </c>
      <c r="J148" s="1001">
        <f t="shared" si="27"/>
        <v>32380000</v>
      </c>
    </row>
    <row r="149" spans="1:10" s="9" customFormat="1" ht="14.25" customHeight="1" hidden="1" thickBot="1">
      <c r="A149" s="208" t="s">
        <v>550</v>
      </c>
      <c r="B149" s="183">
        <v>0</v>
      </c>
      <c r="C149" s="951"/>
      <c r="D149" s="951">
        <f t="shared" si="23"/>
        <v>0</v>
      </c>
      <c r="E149" s="999"/>
      <c r="F149" s="999"/>
      <c r="G149" s="1000"/>
      <c r="H149" s="1000"/>
      <c r="I149" s="1000"/>
      <c r="J149" s="1001"/>
    </row>
    <row r="150" spans="1:10" s="10" customFormat="1" ht="12.75" thickBot="1">
      <c r="A150" s="204" t="s">
        <v>36</v>
      </c>
      <c r="B150" s="179"/>
      <c r="C150" s="968">
        <v>2000000</v>
      </c>
      <c r="D150" s="968">
        <f t="shared" si="23"/>
        <v>2000000</v>
      </c>
      <c r="E150" s="987">
        <v>2000000</v>
      </c>
      <c r="F150" s="987"/>
      <c r="G150" s="988"/>
      <c r="H150" s="988"/>
      <c r="I150" s="988"/>
      <c r="J150" s="945"/>
    </row>
    <row r="151" spans="1:10" s="10" customFormat="1" ht="14.25" customHeight="1" hidden="1" thickBot="1">
      <c r="A151" s="212"/>
      <c r="B151" s="178">
        <v>0</v>
      </c>
      <c r="C151" s="972"/>
      <c r="D151" s="972">
        <f>SUM(E151:J151)</f>
        <v>0</v>
      </c>
      <c r="E151" s="982"/>
      <c r="F151" s="982"/>
      <c r="G151" s="983"/>
      <c r="H151" s="983"/>
      <c r="I151" s="983"/>
      <c r="J151" s="946"/>
    </row>
    <row r="152" spans="1:10" s="9" customFormat="1" ht="14.25" customHeight="1" thickBot="1">
      <c r="A152" s="208" t="s">
        <v>33</v>
      </c>
      <c r="B152" s="183">
        <f>SUM(B150:B151)</f>
        <v>0</v>
      </c>
      <c r="C152" s="951">
        <v>2000000</v>
      </c>
      <c r="D152" s="951">
        <f t="shared" si="23"/>
        <v>2000000</v>
      </c>
      <c r="E152" s="999">
        <f aca="true" t="shared" si="28" ref="E152:J152">SUM(E150:E151)</f>
        <v>2000000</v>
      </c>
      <c r="F152" s="999">
        <f t="shared" si="28"/>
        <v>0</v>
      </c>
      <c r="G152" s="1000">
        <f t="shared" si="28"/>
        <v>0</v>
      </c>
      <c r="H152" s="1000">
        <f t="shared" si="28"/>
        <v>0</v>
      </c>
      <c r="I152" s="1000">
        <f t="shared" si="28"/>
        <v>0</v>
      </c>
      <c r="J152" s="1001">
        <f t="shared" si="28"/>
        <v>0</v>
      </c>
    </row>
    <row r="153" spans="1:10" s="9" customFormat="1" ht="14.25" customHeight="1" hidden="1" thickBot="1">
      <c r="A153" s="208" t="s">
        <v>43</v>
      </c>
      <c r="B153" s="183">
        <v>0</v>
      </c>
      <c r="C153" s="951">
        <v>0</v>
      </c>
      <c r="D153" s="951">
        <f t="shared" si="23"/>
        <v>0</v>
      </c>
      <c r="E153" s="999"/>
      <c r="F153" s="999"/>
      <c r="G153" s="1000"/>
      <c r="H153" s="1000"/>
      <c r="I153" s="1000"/>
      <c r="J153" s="1001"/>
    </row>
    <row r="154" spans="1:10" s="10" customFormat="1" ht="12.75" thickBot="1">
      <c r="A154" s="222"/>
      <c r="B154" s="179"/>
      <c r="C154" s="968">
        <v>0</v>
      </c>
      <c r="D154" s="968">
        <f t="shared" si="23"/>
        <v>0</v>
      </c>
      <c r="E154" s="987"/>
      <c r="F154" s="987"/>
      <c r="G154" s="988"/>
      <c r="H154" s="988"/>
      <c r="I154" s="988"/>
      <c r="J154" s="945"/>
    </row>
    <row r="155" spans="1:10" s="10" customFormat="1" ht="14.25" customHeight="1" hidden="1">
      <c r="A155" s="205" t="s">
        <v>34</v>
      </c>
      <c r="B155" s="177">
        <v>0</v>
      </c>
      <c r="C155" s="973">
        <v>0</v>
      </c>
      <c r="D155" s="973">
        <f t="shared" si="23"/>
        <v>0</v>
      </c>
      <c r="E155" s="980"/>
      <c r="F155" s="980"/>
      <c r="G155" s="981"/>
      <c r="H155" s="981"/>
      <c r="I155" s="981"/>
      <c r="J155" s="946"/>
    </row>
    <row r="156" spans="1:10" s="10" customFormat="1" ht="12" hidden="1">
      <c r="A156" s="218"/>
      <c r="B156" s="177">
        <v>0</v>
      </c>
      <c r="C156" s="973">
        <v>0</v>
      </c>
      <c r="D156" s="973">
        <f t="shared" si="23"/>
        <v>0</v>
      </c>
      <c r="E156" s="980"/>
      <c r="F156" s="980"/>
      <c r="G156" s="981"/>
      <c r="H156" s="981"/>
      <c r="I156" s="981"/>
      <c r="J156" s="946"/>
    </row>
    <row r="157" spans="1:10" s="10" customFormat="1" ht="12" hidden="1">
      <c r="A157" s="218"/>
      <c r="B157" s="177">
        <v>0</v>
      </c>
      <c r="C157" s="973">
        <v>0</v>
      </c>
      <c r="D157" s="973">
        <f t="shared" si="23"/>
        <v>0</v>
      </c>
      <c r="E157" s="980"/>
      <c r="F157" s="980"/>
      <c r="G157" s="981"/>
      <c r="H157" s="981"/>
      <c r="I157" s="981"/>
      <c r="J157" s="946"/>
    </row>
    <row r="158" spans="1:10" s="10" customFormat="1" ht="12.75" hidden="1" thickBot="1">
      <c r="A158" s="218"/>
      <c r="B158" s="178">
        <v>0</v>
      </c>
      <c r="C158" s="972">
        <v>0</v>
      </c>
      <c r="D158" s="972">
        <f t="shared" si="23"/>
        <v>0</v>
      </c>
      <c r="E158" s="982"/>
      <c r="F158" s="982"/>
      <c r="G158" s="983"/>
      <c r="H158" s="983"/>
      <c r="I158" s="983"/>
      <c r="J158" s="992"/>
    </row>
    <row r="159" spans="1:10" s="9" customFormat="1" ht="14.25" customHeight="1" thickBot="1">
      <c r="A159" s="219" t="s">
        <v>44</v>
      </c>
      <c r="B159" s="183">
        <f>SUM(B154:B158)</f>
        <v>0</v>
      </c>
      <c r="C159" s="951">
        <v>0</v>
      </c>
      <c r="D159" s="951">
        <f t="shared" si="23"/>
        <v>0</v>
      </c>
      <c r="E159" s="999">
        <f>SUM(E154:E158)</f>
        <v>0</v>
      </c>
      <c r="F159" s="999">
        <f>SUM(F154:F158)</f>
        <v>0</v>
      </c>
      <c r="G159" s="1000">
        <f>SUM(G154:G158)</f>
        <v>0</v>
      </c>
      <c r="H159" s="1000">
        <f>SUM(H154:H158)</f>
        <v>0</v>
      </c>
      <c r="I159" s="1000">
        <f>SUM(I154:I158)</f>
        <v>0</v>
      </c>
      <c r="J159" s="1001">
        <f>SUM(J154:J158)+J152</f>
        <v>0</v>
      </c>
    </row>
    <row r="160" spans="1:10" s="11" customFormat="1" ht="14.25" customHeight="1" thickBot="1">
      <c r="A160" s="221" t="s">
        <v>35</v>
      </c>
      <c r="B160" s="190">
        <f>B140+B141+B142+B148+B149+B152+B153+B159</f>
        <v>0</v>
      </c>
      <c r="C160" s="951">
        <v>33000000</v>
      </c>
      <c r="D160" s="951">
        <f t="shared" si="23"/>
        <v>34380000</v>
      </c>
      <c r="E160" s="984">
        <f>E140+E141+E142+E148+E149+E152+E153+E159</f>
        <v>2000000</v>
      </c>
      <c r="F160" s="984">
        <f>F140+F141+F142+F148+F149+F152+F153+F159</f>
        <v>0</v>
      </c>
      <c r="G160" s="985">
        <f>G140+G141+G142+G148+G149+G152+G153+G159</f>
        <v>0</v>
      </c>
      <c r="H160" s="985">
        <f>H140+H141+H142+H148+H149+H152+H153+H159</f>
        <v>0</v>
      </c>
      <c r="I160" s="985">
        <f>I140+I141+I142+I148+I149+I152+I153+I159</f>
        <v>0</v>
      </c>
      <c r="J160" s="986">
        <f>J148+J149+J159</f>
        <v>32380000</v>
      </c>
    </row>
    <row r="161" spans="1:10" s="10" customFormat="1" ht="12">
      <c r="A161" s="222" t="s">
        <v>689</v>
      </c>
      <c r="B161" s="179"/>
      <c r="C161" s="975">
        <v>282736616</v>
      </c>
      <c r="D161" s="968">
        <f t="shared" si="23"/>
        <v>285685713</v>
      </c>
      <c r="E161" s="987"/>
      <c r="F161" s="987"/>
      <c r="G161" s="988"/>
      <c r="H161" s="988"/>
      <c r="I161" s="988"/>
      <c r="J161" s="945">
        <f>282736616+1924457+1024640</f>
        <v>285685713</v>
      </c>
    </row>
    <row r="162" spans="1:10" s="10" customFormat="1" ht="12" customHeight="1">
      <c r="A162" s="222" t="s">
        <v>382</v>
      </c>
      <c r="B162" s="179"/>
      <c r="C162" s="975">
        <v>203050682</v>
      </c>
      <c r="D162" s="968">
        <f t="shared" si="23"/>
        <v>200858136</v>
      </c>
      <c r="E162" s="987"/>
      <c r="F162" s="987"/>
      <c r="G162" s="988"/>
      <c r="H162" s="988"/>
      <c r="I162" s="988"/>
      <c r="J162" s="945">
        <f>203050682+1450000-3642546</f>
        <v>200858136</v>
      </c>
    </row>
    <row r="163" spans="1:10" s="10" customFormat="1" ht="12" customHeight="1">
      <c r="A163" s="205" t="s">
        <v>266</v>
      </c>
      <c r="B163" s="177"/>
      <c r="C163" s="969">
        <v>325943947</v>
      </c>
      <c r="D163" s="973">
        <f t="shared" si="23"/>
        <v>398088254</v>
      </c>
      <c r="E163" s="980"/>
      <c r="F163" s="980"/>
      <c r="G163" s="981"/>
      <c r="H163" s="981"/>
      <c r="I163" s="981"/>
      <c r="J163" s="946">
        <f>325943947+45428281+16559788+10156238</f>
        <v>398088254</v>
      </c>
    </row>
    <row r="164" spans="1:10" s="10" customFormat="1" ht="12" customHeight="1">
      <c r="A164" s="205" t="s">
        <v>40</v>
      </c>
      <c r="B164" s="177"/>
      <c r="C164" s="969">
        <v>84264728</v>
      </c>
      <c r="D164" s="973">
        <f t="shared" si="23"/>
        <v>87573072</v>
      </c>
      <c r="E164" s="980"/>
      <c r="F164" s="980"/>
      <c r="G164" s="981"/>
      <c r="H164" s="981"/>
      <c r="I164" s="981"/>
      <c r="J164" s="946">
        <f>84264728+3516119+290000-497775</f>
        <v>87573072</v>
      </c>
    </row>
    <row r="165" spans="1:10" ht="12.75" thickBot="1">
      <c r="A165" s="215" t="s">
        <v>41</v>
      </c>
      <c r="B165" s="178"/>
      <c r="C165" s="976">
        <v>232211841</v>
      </c>
      <c r="D165" s="972">
        <f t="shared" si="23"/>
        <v>233840597</v>
      </c>
      <c r="E165" s="982"/>
      <c r="F165" s="982"/>
      <c r="G165" s="983"/>
      <c r="H165" s="983"/>
      <c r="I165" s="983"/>
      <c r="J165" s="992">
        <f>232211841+1628756</f>
        <v>233840597</v>
      </c>
    </row>
    <row r="166" spans="1:10" s="23" customFormat="1" ht="12.75" thickBot="1">
      <c r="A166" s="203" t="s">
        <v>153</v>
      </c>
      <c r="B166" s="190">
        <f>SUM(B161:B165)</f>
        <v>0</v>
      </c>
      <c r="C166" s="951">
        <f>SUM(C161:C165)</f>
        <v>1128207814</v>
      </c>
      <c r="D166" s="951">
        <f t="shared" si="23"/>
        <v>1206045772</v>
      </c>
      <c r="E166" s="984">
        <f aca="true" t="shared" si="29" ref="E166:J166">SUM(E161:E165)</f>
        <v>0</v>
      </c>
      <c r="F166" s="984">
        <f t="shared" si="29"/>
        <v>0</v>
      </c>
      <c r="G166" s="985">
        <f t="shared" si="29"/>
        <v>0</v>
      </c>
      <c r="H166" s="985">
        <f t="shared" si="29"/>
        <v>0</v>
      </c>
      <c r="I166" s="985">
        <f t="shared" si="29"/>
        <v>0</v>
      </c>
      <c r="J166" s="986">
        <f t="shared" si="29"/>
        <v>1206045772</v>
      </c>
    </row>
    <row r="167" spans="2:10" ht="12">
      <c r="B167" s="185"/>
      <c r="C167" s="185"/>
      <c r="D167" s="185"/>
      <c r="E167" s="185"/>
      <c r="F167" s="185"/>
      <c r="G167" s="185"/>
      <c r="H167" s="185"/>
      <c r="I167" s="185"/>
      <c r="J167" s="185"/>
    </row>
    <row r="168" spans="2:10" ht="12">
      <c r="B168" s="7"/>
      <c r="C168" s="7"/>
      <c r="D168" s="7"/>
      <c r="E168" s="7"/>
      <c r="F168" s="7"/>
      <c r="G168" s="7"/>
      <c r="H168" s="7"/>
      <c r="I168" s="7"/>
      <c r="J168" s="7"/>
    </row>
    <row r="169" spans="2:10" ht="12">
      <c r="B169" s="7"/>
      <c r="C169" s="7"/>
      <c r="D169" s="7"/>
      <c r="E169" s="7"/>
      <c r="F169" s="7"/>
      <c r="G169" s="7"/>
      <c r="H169" s="7"/>
      <c r="I169" s="7"/>
      <c r="J169" s="7"/>
    </row>
    <row r="170" spans="2:10" ht="12">
      <c r="B170" s="7"/>
      <c r="C170" s="7"/>
      <c r="D170" s="7"/>
      <c r="E170" s="7"/>
      <c r="F170" s="7"/>
      <c r="G170" s="7"/>
      <c r="H170" s="7"/>
      <c r="I170" s="7"/>
      <c r="J170" s="7"/>
    </row>
    <row r="171" spans="2:10" ht="12">
      <c r="B171" s="7"/>
      <c r="C171" s="7"/>
      <c r="D171" s="7"/>
      <c r="E171" s="7"/>
      <c r="F171" s="7"/>
      <c r="G171" s="7"/>
      <c r="H171" s="7"/>
      <c r="I171" s="7"/>
      <c r="J171" s="7"/>
    </row>
    <row r="172" spans="2:10" ht="12">
      <c r="B172" s="7"/>
      <c r="C172" s="7"/>
      <c r="D172" s="7"/>
      <c r="E172" s="7"/>
      <c r="F172" s="7"/>
      <c r="G172" s="7"/>
      <c r="H172" s="7"/>
      <c r="I172" s="7"/>
      <c r="J172" s="7"/>
    </row>
    <row r="173" spans="2:10" ht="12">
      <c r="B173" s="7"/>
      <c r="C173" s="7"/>
      <c r="D173" s="7"/>
      <c r="E173" s="7"/>
      <c r="F173" s="7"/>
      <c r="G173" s="7"/>
      <c r="H173" s="7"/>
      <c r="I173" s="7"/>
      <c r="J173" s="7"/>
    </row>
  </sheetData>
  <sheetProtection/>
  <mergeCells count="1"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zoomScalePageLayoutView="0" workbookViewId="0" topLeftCell="A7">
      <selection activeCell="D7" sqref="D7:H7"/>
    </sheetView>
  </sheetViews>
  <sheetFormatPr defaultColWidth="9.00390625" defaultRowHeight="12.75"/>
  <cols>
    <col min="1" max="1" width="39.375" style="339" customWidth="1"/>
    <col min="2" max="3" width="13.625" style="339" customWidth="1"/>
    <col min="4" max="7" width="10.75390625" style="339" customWidth="1"/>
    <col min="8" max="8" width="11.875" style="339" customWidth="1"/>
    <col min="9" max="9" width="14.375" style="339" customWidth="1"/>
    <col min="10" max="10" width="10.375" style="339" bestFit="1" customWidth="1"/>
    <col min="11" max="11" width="14.625" style="339" bestFit="1" customWidth="1"/>
    <col min="12" max="16384" width="9.125" style="339" customWidth="1"/>
  </cols>
  <sheetData>
    <row r="1" spans="1:9" s="323" customFormat="1" ht="12.75">
      <c r="A1" s="321" t="s">
        <v>242</v>
      </c>
      <c r="B1" s="322" t="str">
        <f>'bev-int'!B1</f>
        <v>melléklet a …/2024. (III.  .) önkormányzati rendelethez</v>
      </c>
      <c r="C1" s="322"/>
      <c r="D1" s="322"/>
      <c r="E1" s="322"/>
      <c r="F1" s="322"/>
      <c r="G1" s="322"/>
      <c r="H1" s="322"/>
      <c r="I1" s="322"/>
    </row>
    <row r="2" spans="2:9" s="323" customFormat="1" ht="8.25" customHeight="1">
      <c r="B2" s="322"/>
      <c r="C2" s="322"/>
      <c r="D2" s="322"/>
      <c r="E2" s="322"/>
      <c r="F2" s="322"/>
      <c r="G2" s="322"/>
      <c r="H2" s="322"/>
      <c r="I2" s="322"/>
    </row>
    <row r="3" spans="1:9" s="322" customFormat="1" ht="12.75">
      <c r="A3" s="1159" t="s">
        <v>706</v>
      </c>
      <c r="B3" s="1160"/>
      <c r="C3" s="1160"/>
      <c r="D3" s="1160"/>
      <c r="E3" s="1160"/>
      <c r="F3" s="1160"/>
      <c r="G3" s="1160"/>
      <c r="H3" s="1160"/>
      <c r="I3" s="1160"/>
    </row>
    <row r="4" spans="1:9" s="322" customFormat="1" ht="12.75">
      <c r="A4" s="1159" t="s">
        <v>707</v>
      </c>
      <c r="B4" s="1160"/>
      <c r="C4" s="1160"/>
      <c r="D4" s="1160"/>
      <c r="E4" s="1160"/>
      <c r="F4" s="1160"/>
      <c r="G4" s="1160"/>
      <c r="H4" s="1160"/>
      <c r="I4" s="1160"/>
    </row>
    <row r="5" spans="1:9" s="323" customFormat="1" ht="12">
      <c r="A5" s="324"/>
      <c r="B5" s="324"/>
      <c r="C5" s="324"/>
      <c r="D5" s="324"/>
      <c r="E5" s="324"/>
      <c r="F5" s="324"/>
      <c r="G5" s="324"/>
      <c r="H5" s="324"/>
      <c r="I5" s="324"/>
    </row>
    <row r="6" spans="2:9" s="323" customFormat="1" ht="13.5" thickBot="1">
      <c r="B6" s="322"/>
      <c r="C6" s="322"/>
      <c r="D6" s="322"/>
      <c r="E6" s="322"/>
      <c r="F6" s="322"/>
      <c r="G6" s="322"/>
      <c r="H6" s="322"/>
      <c r="I6" s="585" t="s">
        <v>705</v>
      </c>
    </row>
    <row r="7" spans="1:9" s="327" customFormat="1" ht="61.5" customHeight="1" thickBot="1">
      <c r="A7" s="325" t="s">
        <v>55</v>
      </c>
      <c r="B7" s="417" t="s">
        <v>703</v>
      </c>
      <c r="C7" s="417" t="s">
        <v>835</v>
      </c>
      <c r="D7" s="1148" t="s">
        <v>543</v>
      </c>
      <c r="E7" s="1152" t="s">
        <v>342</v>
      </c>
      <c r="F7" s="1153" t="s">
        <v>57</v>
      </c>
      <c r="G7" s="1153" t="str">
        <f>'bev-int'!G7</f>
        <v>Kisbéri Gyöngyszem Óvoda és Bölcsőde</v>
      </c>
      <c r="H7" s="1153" t="s">
        <v>234</v>
      </c>
      <c r="I7" s="326" t="s">
        <v>56</v>
      </c>
    </row>
    <row r="8" spans="1:11" s="331" customFormat="1" ht="13.5" thickBot="1">
      <c r="A8" s="330" t="s">
        <v>63</v>
      </c>
      <c r="B8" s="699">
        <v>962864730</v>
      </c>
      <c r="C8" s="699">
        <f aca="true" t="shared" si="0" ref="C8:C33">SUM(D8:I8)</f>
        <v>960707200</v>
      </c>
      <c r="D8" s="708">
        <f>-115000+223649842+302880</f>
        <v>223837722</v>
      </c>
      <c r="E8" s="708">
        <f>88593574+1281813+356233</f>
        <v>90231620</v>
      </c>
      <c r="F8" s="708">
        <f>33868849+105563+99019</f>
        <v>34073431</v>
      </c>
      <c r="G8" s="708">
        <f>175730526+1013863</f>
        <v>176744389</v>
      </c>
      <c r="H8" s="708">
        <f>329158106-14713816</f>
        <v>314444290</v>
      </c>
      <c r="I8" s="709">
        <v>121375748</v>
      </c>
      <c r="K8" s="502"/>
    </row>
    <row r="9" spans="1:11" s="331" customFormat="1" ht="13.5" thickBot="1">
      <c r="A9" s="330" t="s">
        <v>106</v>
      </c>
      <c r="B9" s="699">
        <v>139619208</v>
      </c>
      <c r="C9" s="699">
        <f t="shared" si="0"/>
        <v>137903789</v>
      </c>
      <c r="D9" s="710">
        <f>32330819-360</f>
        <v>32330459</v>
      </c>
      <c r="E9" s="708">
        <f>11841419+168187-55291</f>
        <v>11954315</v>
      </c>
      <c r="F9" s="708">
        <v>5961506</v>
      </c>
      <c r="G9" s="708">
        <f>25279002+613525</f>
        <v>25892527</v>
      </c>
      <c r="H9" s="708">
        <f>49745593-2780529</f>
        <v>46965064</v>
      </c>
      <c r="I9" s="709">
        <v>14799918</v>
      </c>
      <c r="K9" s="502"/>
    </row>
    <row r="10" spans="1:11" s="327" customFormat="1" ht="12.75">
      <c r="A10" s="328" t="s">
        <v>133</v>
      </c>
      <c r="B10" s="700">
        <v>196224092</v>
      </c>
      <c r="C10" s="700">
        <f t="shared" si="0"/>
        <v>223884986</v>
      </c>
      <c r="D10" s="711">
        <f>3605000+17600-225692</f>
        <v>3396908</v>
      </c>
      <c r="E10" s="712">
        <f>82061681-30000-1712531</f>
        <v>80319150</v>
      </c>
      <c r="F10" s="713">
        <f>3275134+92283</f>
        <v>3367417</v>
      </c>
      <c r="G10" s="713">
        <f>4110000+226186</f>
        <v>4336186</v>
      </c>
      <c r="H10" s="714">
        <f>86658497+12150000+12914191</f>
        <v>111722688</v>
      </c>
      <c r="I10" s="715">
        <v>20742637</v>
      </c>
      <c r="K10" s="502"/>
    </row>
    <row r="11" spans="1:11" s="327" customFormat="1" ht="12.75">
      <c r="A11" s="332" t="s">
        <v>292</v>
      </c>
      <c r="B11" s="700">
        <v>17948734</v>
      </c>
      <c r="C11" s="700">
        <f t="shared" si="0"/>
        <v>18857024</v>
      </c>
      <c r="D11" s="716">
        <f>9645122+814457</f>
        <v>10459579</v>
      </c>
      <c r="E11" s="717">
        <f>675000+10696</f>
        <v>685696</v>
      </c>
      <c r="F11" s="718">
        <v>929000</v>
      </c>
      <c r="G11" s="718">
        <v>595060</v>
      </c>
      <c r="H11" s="718">
        <f>1670552+52074</f>
        <v>1722626</v>
      </c>
      <c r="I11" s="719">
        <v>4465063</v>
      </c>
      <c r="K11" s="502"/>
    </row>
    <row r="12" spans="1:12" s="327" customFormat="1" ht="12.75">
      <c r="A12" s="332" t="s">
        <v>134</v>
      </c>
      <c r="B12" s="700">
        <v>352291315</v>
      </c>
      <c r="C12" s="700">
        <f t="shared" si="0"/>
        <v>375375091</v>
      </c>
      <c r="D12" s="716">
        <f>19177740+150148+420307</f>
        <v>19748195</v>
      </c>
      <c r="E12" s="717">
        <f>32826476+404081+1450603</f>
        <v>34681160</v>
      </c>
      <c r="F12" s="718">
        <f>42525375-1149965+290000-410436</f>
        <v>41254974</v>
      </c>
      <c r="G12" s="718">
        <f>19612000+442407-210697</f>
        <v>19843710</v>
      </c>
      <c r="H12" s="718">
        <f>48175000+16704229+499037-18292559</f>
        <v>47085707</v>
      </c>
      <c r="I12" s="720">
        <v>212761345</v>
      </c>
      <c r="K12" s="502"/>
      <c r="L12" s="579"/>
    </row>
    <row r="13" spans="1:12" s="327" customFormat="1" ht="12.75">
      <c r="A13" s="332" t="s">
        <v>135</v>
      </c>
      <c r="B13" s="700">
        <v>1935000</v>
      </c>
      <c r="C13" s="700">
        <f t="shared" si="0"/>
        <v>1903307</v>
      </c>
      <c r="D13" s="716">
        <v>530000</v>
      </c>
      <c r="E13" s="717">
        <f>50000-50000</f>
        <v>0</v>
      </c>
      <c r="F13" s="718">
        <f>100000</f>
        <v>100000</v>
      </c>
      <c r="G13" s="718">
        <f>25000+1368</f>
        <v>26368</v>
      </c>
      <c r="H13" s="718">
        <f>250000+23419</f>
        <v>273419</v>
      </c>
      <c r="I13" s="719">
        <v>973520</v>
      </c>
      <c r="K13" s="502"/>
      <c r="L13" s="579"/>
    </row>
    <row r="14" spans="1:12" s="327" customFormat="1" ht="13.5" thickBot="1">
      <c r="A14" s="329" t="s">
        <v>136</v>
      </c>
      <c r="B14" s="701">
        <v>723456116</v>
      </c>
      <c r="C14" s="701">
        <f t="shared" si="0"/>
        <v>779643704</v>
      </c>
      <c r="D14" s="721">
        <f>7574239-28622</f>
        <v>7545617</v>
      </c>
      <c r="E14" s="722">
        <f>39092678+109101+290</f>
        <v>39202069</v>
      </c>
      <c r="F14" s="723">
        <f>13491038+39189+49134</f>
        <v>13579361</v>
      </c>
      <c r="G14" s="723">
        <f>6225253+119450+39196</f>
        <v>6383899</v>
      </c>
      <c r="H14" s="723">
        <f>35241682+6940142+134740-4068148</f>
        <v>38248416</v>
      </c>
      <c r="I14" s="724">
        <v>674684342</v>
      </c>
      <c r="K14" s="502"/>
      <c r="L14" s="579"/>
    </row>
    <row r="15" spans="1:11" s="331" customFormat="1" ht="13.5" thickBot="1">
      <c r="A15" s="330" t="s">
        <v>146</v>
      </c>
      <c r="B15" s="699">
        <f>SUM(B10:B14)</f>
        <v>1291855257</v>
      </c>
      <c r="C15" s="699">
        <f t="shared" si="0"/>
        <v>1399664112</v>
      </c>
      <c r="D15" s="725">
        <f aca="true" t="shared" si="1" ref="D15:I15">SUM(D10:D14)</f>
        <v>41680299</v>
      </c>
      <c r="E15" s="725">
        <f t="shared" si="1"/>
        <v>154888075</v>
      </c>
      <c r="F15" s="725">
        <f t="shared" si="1"/>
        <v>59230752</v>
      </c>
      <c r="G15" s="725">
        <f t="shared" si="1"/>
        <v>31185223</v>
      </c>
      <c r="H15" s="725">
        <f t="shared" si="1"/>
        <v>199052856</v>
      </c>
      <c r="I15" s="699">
        <f t="shared" si="1"/>
        <v>913626907</v>
      </c>
      <c r="K15" s="502"/>
    </row>
    <row r="16" spans="1:11" s="331" customFormat="1" ht="13.5" thickBot="1">
      <c r="A16" s="333" t="s">
        <v>137</v>
      </c>
      <c r="B16" s="702">
        <v>6570000</v>
      </c>
      <c r="C16" s="702">
        <f t="shared" si="0"/>
        <v>6840637</v>
      </c>
      <c r="D16" s="726">
        <f>szoc_k_!D15</f>
        <v>0</v>
      </c>
      <c r="E16" s="727">
        <v>0</v>
      </c>
      <c r="F16" s="728">
        <v>0</v>
      </c>
      <c r="G16" s="728">
        <v>0</v>
      </c>
      <c r="H16" s="728">
        <f>szoc_k_!G27</f>
        <v>270000</v>
      </c>
      <c r="I16" s="729">
        <f>szoc_k_!H35</f>
        <v>6570637</v>
      </c>
      <c r="K16" s="502"/>
    </row>
    <row r="17" spans="1:11" s="331" customFormat="1" ht="13.5" thickBot="1">
      <c r="A17" s="334" t="s">
        <v>138</v>
      </c>
      <c r="B17" s="699">
        <v>355591928</v>
      </c>
      <c r="C17" s="699">
        <f t="shared" si="0"/>
        <v>661779950</v>
      </c>
      <c r="D17" s="710">
        <f>b_k_ré!E114+b_k_ré!E127</f>
        <v>389043</v>
      </c>
      <c r="E17" s="730">
        <f>b_k_ré!F139</f>
        <v>0</v>
      </c>
      <c r="F17" s="708">
        <f>b_k_ré!G114+b_k_ré!G127</f>
        <v>40845</v>
      </c>
      <c r="G17" s="730">
        <f>b_k_ré!H114</f>
        <v>0</v>
      </c>
      <c r="H17" s="730">
        <f>b_k_ré!I139</f>
        <v>0</v>
      </c>
      <c r="I17" s="731">
        <f>b_k_ré!J139</f>
        <v>661350062</v>
      </c>
      <c r="J17" s="8"/>
      <c r="K17" s="502"/>
    </row>
    <row r="18" spans="1:11" s="331" customFormat="1" ht="12.75">
      <c r="A18" s="335" t="s">
        <v>341</v>
      </c>
      <c r="B18" s="703">
        <f>B8+B9+B15+B16+B17</f>
        <v>2756501123</v>
      </c>
      <c r="C18" s="703">
        <f aca="true" t="shared" si="2" ref="C18:I18">C8+C9+C15+C16+C17</f>
        <v>3166895688</v>
      </c>
      <c r="D18" s="703">
        <f t="shared" si="2"/>
        <v>298237523</v>
      </c>
      <c r="E18" s="703">
        <f t="shared" si="2"/>
        <v>257074010</v>
      </c>
      <c r="F18" s="703">
        <f t="shared" si="2"/>
        <v>99306534</v>
      </c>
      <c r="G18" s="703">
        <f t="shared" si="2"/>
        <v>233822139</v>
      </c>
      <c r="H18" s="703">
        <f t="shared" si="2"/>
        <v>560732210</v>
      </c>
      <c r="I18" s="703">
        <f t="shared" si="2"/>
        <v>1717723272</v>
      </c>
      <c r="K18" s="502"/>
    </row>
    <row r="19" spans="1:11" s="331" customFormat="1" ht="13.5" thickBot="1">
      <c r="A19" s="333" t="s">
        <v>65</v>
      </c>
      <c r="B19" s="702">
        <v>915580011</v>
      </c>
      <c r="C19" s="702">
        <f t="shared" si="0"/>
        <v>1233006384</v>
      </c>
      <c r="D19" s="726">
        <f>beruh!H51</f>
        <v>1270000</v>
      </c>
      <c r="E19" s="727">
        <f>beruh!J51</f>
        <v>3386487</v>
      </c>
      <c r="F19" s="728">
        <f>beruh!L51</f>
        <v>2007182</v>
      </c>
      <c r="G19" s="728">
        <f>beruh!N51</f>
        <v>635000</v>
      </c>
      <c r="H19" s="728">
        <f>beruh!P51</f>
        <v>13044045</v>
      </c>
      <c r="I19" s="729">
        <f>beruh!F51</f>
        <v>1212663670</v>
      </c>
      <c r="K19" s="502"/>
    </row>
    <row r="20" spans="1:11" s="331" customFormat="1" ht="13.5" thickBot="1">
      <c r="A20" s="330" t="s">
        <v>64</v>
      </c>
      <c r="B20" s="699">
        <v>1547119619</v>
      </c>
      <c r="C20" s="699">
        <f t="shared" si="0"/>
        <v>2114569725</v>
      </c>
      <c r="D20" s="710">
        <f>felúj!I29</f>
        <v>0</v>
      </c>
      <c r="E20" s="730">
        <f>felúj!K29</f>
        <v>0</v>
      </c>
      <c r="F20" s="708">
        <f>felúj!M29</f>
        <v>0</v>
      </c>
      <c r="G20" s="708">
        <f>felúj!O29</f>
        <v>0</v>
      </c>
      <c r="H20" s="708">
        <f>felúj!Q29</f>
        <v>0</v>
      </c>
      <c r="I20" s="709">
        <f>felúj!G29</f>
        <v>2114569725</v>
      </c>
      <c r="K20" s="502"/>
    </row>
    <row r="21" spans="1:11" s="331" customFormat="1" ht="13.5" thickBot="1">
      <c r="A21" s="333" t="s">
        <v>139</v>
      </c>
      <c r="B21" s="704">
        <v>33000000</v>
      </c>
      <c r="C21" s="704">
        <f t="shared" si="0"/>
        <v>34380000</v>
      </c>
      <c r="D21" s="728">
        <f>b_k_ré!E160</f>
        <v>2000000</v>
      </c>
      <c r="E21" s="728">
        <v>0</v>
      </c>
      <c r="F21" s="728">
        <v>0</v>
      </c>
      <c r="G21" s="728">
        <v>0</v>
      </c>
      <c r="H21" s="728">
        <v>0</v>
      </c>
      <c r="I21" s="729">
        <f>b_k_ré!J160</f>
        <v>32380000</v>
      </c>
      <c r="K21" s="502"/>
    </row>
    <row r="22" spans="1:11" s="327" customFormat="1" ht="13.5" thickBot="1">
      <c r="A22" s="330" t="s">
        <v>66</v>
      </c>
      <c r="B22" s="699">
        <f>B18+B19+B20+B21</f>
        <v>5252200753</v>
      </c>
      <c r="C22" s="699">
        <f t="shared" si="0"/>
        <v>6548851797</v>
      </c>
      <c r="D22" s="725">
        <f aca="true" t="shared" si="3" ref="D22:I22">D8+D9+D15+D16+D17+D19+D20+D21</f>
        <v>301507523</v>
      </c>
      <c r="E22" s="725">
        <f t="shared" si="3"/>
        <v>260460497</v>
      </c>
      <c r="F22" s="708">
        <f t="shared" si="3"/>
        <v>101313716</v>
      </c>
      <c r="G22" s="708">
        <f t="shared" si="3"/>
        <v>234457139</v>
      </c>
      <c r="H22" s="708">
        <f t="shared" si="3"/>
        <v>573776255</v>
      </c>
      <c r="I22" s="709">
        <f t="shared" si="3"/>
        <v>5077336667</v>
      </c>
      <c r="K22" s="502"/>
    </row>
    <row r="23" spans="1:11" s="327" customFormat="1" ht="12.75">
      <c r="A23" s="328" t="s">
        <v>151</v>
      </c>
      <c r="B23" s="700">
        <v>0</v>
      </c>
      <c r="C23" s="700">
        <f t="shared" si="0"/>
        <v>0</v>
      </c>
      <c r="D23" s="711"/>
      <c r="E23" s="712"/>
      <c r="F23" s="713"/>
      <c r="G23" s="713"/>
      <c r="H23" s="713"/>
      <c r="I23" s="715"/>
      <c r="K23" s="502"/>
    </row>
    <row r="24" spans="1:11" s="327" customFormat="1" ht="12.75">
      <c r="A24" s="332" t="s">
        <v>152</v>
      </c>
      <c r="B24" s="700">
        <v>0</v>
      </c>
      <c r="C24" s="700">
        <f t="shared" si="0"/>
        <v>0</v>
      </c>
      <c r="D24" s="716"/>
      <c r="E24" s="717"/>
      <c r="F24" s="718"/>
      <c r="G24" s="718"/>
      <c r="H24" s="718"/>
      <c r="I24" s="719"/>
      <c r="K24" s="502"/>
    </row>
    <row r="25" spans="1:11" s="327" customFormat="1" ht="12.75">
      <c r="A25" s="332" t="s">
        <v>37</v>
      </c>
      <c r="B25" s="700">
        <v>0</v>
      </c>
      <c r="C25" s="700">
        <f t="shared" si="0"/>
        <v>0</v>
      </c>
      <c r="D25" s="716"/>
      <c r="E25" s="717"/>
      <c r="F25" s="718"/>
      <c r="G25" s="718"/>
      <c r="H25" s="718"/>
      <c r="I25" s="719"/>
      <c r="K25" s="502"/>
    </row>
    <row r="26" spans="1:11" s="327" customFormat="1" ht="12.75">
      <c r="A26" s="332" t="s">
        <v>228</v>
      </c>
      <c r="B26" s="700">
        <v>37721730</v>
      </c>
      <c r="C26" s="700">
        <f t="shared" si="0"/>
        <v>38204079</v>
      </c>
      <c r="D26" s="716"/>
      <c r="E26" s="717"/>
      <c r="F26" s="718"/>
      <c r="G26" s="718"/>
      <c r="H26" s="718"/>
      <c r="I26" s="719">
        <v>38204079</v>
      </c>
      <c r="K26" s="502"/>
    </row>
    <row r="27" spans="1:11" s="327" customFormat="1" ht="12.75">
      <c r="A27" s="332" t="s">
        <v>153</v>
      </c>
      <c r="B27" s="700">
        <v>1128207814</v>
      </c>
      <c r="C27" s="700">
        <f t="shared" si="0"/>
        <v>1206045772</v>
      </c>
      <c r="D27" s="716"/>
      <c r="E27" s="717"/>
      <c r="F27" s="718"/>
      <c r="G27" s="718"/>
      <c r="H27" s="718"/>
      <c r="I27" s="719">
        <f>b_k_ré!J166</f>
        <v>1206045772</v>
      </c>
      <c r="K27" s="502"/>
    </row>
    <row r="28" spans="1:11" s="327" customFormat="1" ht="13.5" thickBot="1">
      <c r="A28" s="329" t="s">
        <v>470</v>
      </c>
      <c r="B28" s="701">
        <v>0</v>
      </c>
      <c r="C28" s="701">
        <f t="shared" si="0"/>
        <v>0</v>
      </c>
      <c r="D28" s="721"/>
      <c r="E28" s="722"/>
      <c r="F28" s="723"/>
      <c r="G28" s="723"/>
      <c r="H28" s="723"/>
      <c r="I28" s="732"/>
      <c r="K28" s="502"/>
    </row>
    <row r="29" spans="1:11" s="327" customFormat="1" ht="13.5" thickBot="1">
      <c r="A29" s="330" t="s">
        <v>155</v>
      </c>
      <c r="B29" s="705">
        <f>SUM(B23:B28)</f>
        <v>1165929544</v>
      </c>
      <c r="C29" s="705">
        <f t="shared" si="0"/>
        <v>1244249851</v>
      </c>
      <c r="D29" s="725">
        <f aca="true" t="shared" si="4" ref="D29:I29">SUM(D23:D28)</f>
        <v>0</v>
      </c>
      <c r="E29" s="725">
        <f t="shared" si="4"/>
        <v>0</v>
      </c>
      <c r="F29" s="708">
        <f t="shared" si="4"/>
        <v>0</v>
      </c>
      <c r="G29" s="708">
        <f t="shared" si="4"/>
        <v>0</v>
      </c>
      <c r="H29" s="708">
        <f t="shared" si="4"/>
        <v>0</v>
      </c>
      <c r="I29" s="709">
        <f t="shared" si="4"/>
        <v>1244249851</v>
      </c>
      <c r="K29" s="502"/>
    </row>
    <row r="30" spans="1:11" s="331" customFormat="1" ht="13.5" thickBot="1">
      <c r="A30" s="330" t="s">
        <v>156</v>
      </c>
      <c r="B30" s="705">
        <v>0</v>
      </c>
      <c r="C30" s="705">
        <f t="shared" si="0"/>
        <v>0</v>
      </c>
      <c r="D30" s="710"/>
      <c r="E30" s="730"/>
      <c r="F30" s="708"/>
      <c r="G30" s="708"/>
      <c r="H30" s="708"/>
      <c r="I30" s="709"/>
      <c r="K30" s="502"/>
    </row>
    <row r="31" spans="1:11" s="331" customFormat="1" ht="13.5" thickBot="1">
      <c r="A31" s="333" t="s">
        <v>39</v>
      </c>
      <c r="B31" s="701">
        <v>0</v>
      </c>
      <c r="C31" s="701">
        <f t="shared" si="0"/>
        <v>0</v>
      </c>
      <c r="D31" s="726"/>
      <c r="E31" s="727"/>
      <c r="F31" s="728"/>
      <c r="G31" s="728"/>
      <c r="H31" s="728"/>
      <c r="I31" s="729"/>
      <c r="K31" s="502"/>
    </row>
    <row r="32" spans="1:11" s="331" customFormat="1" ht="13.5" thickBot="1">
      <c r="A32" s="336" t="s">
        <v>77</v>
      </c>
      <c r="B32" s="706">
        <f>B29+B30+B31</f>
        <v>1165929544</v>
      </c>
      <c r="C32" s="706">
        <f t="shared" si="0"/>
        <v>1244249851</v>
      </c>
      <c r="D32" s="733">
        <f aca="true" t="shared" si="5" ref="D32:I32">D29+D30+D31</f>
        <v>0</v>
      </c>
      <c r="E32" s="733">
        <f t="shared" si="5"/>
        <v>0</v>
      </c>
      <c r="F32" s="734">
        <f t="shared" si="5"/>
        <v>0</v>
      </c>
      <c r="G32" s="734">
        <f t="shared" si="5"/>
        <v>0</v>
      </c>
      <c r="H32" s="734">
        <f t="shared" si="5"/>
        <v>0</v>
      </c>
      <c r="I32" s="735">
        <f t="shared" si="5"/>
        <v>1244249851</v>
      </c>
      <c r="K32" s="502"/>
    </row>
    <row r="33" spans="1:11" s="327" customFormat="1" ht="13.5" thickBot="1">
      <c r="A33" s="337" t="s">
        <v>67</v>
      </c>
      <c r="B33" s="707">
        <f>B22+B32</f>
        <v>6418130297</v>
      </c>
      <c r="C33" s="707">
        <f t="shared" si="0"/>
        <v>7793101648</v>
      </c>
      <c r="D33" s="736">
        <f aca="true" t="shared" si="6" ref="D33:I33">D22+D32</f>
        <v>301507523</v>
      </c>
      <c r="E33" s="736">
        <f t="shared" si="6"/>
        <v>260460497</v>
      </c>
      <c r="F33" s="737">
        <f t="shared" si="6"/>
        <v>101313716</v>
      </c>
      <c r="G33" s="737">
        <f t="shared" si="6"/>
        <v>234457139</v>
      </c>
      <c r="H33" s="737">
        <f t="shared" si="6"/>
        <v>573776255</v>
      </c>
      <c r="I33" s="738">
        <f t="shared" si="6"/>
        <v>6321586518</v>
      </c>
      <c r="K33" s="502"/>
    </row>
    <row r="34" spans="2:9" s="323" customFormat="1" ht="12.75">
      <c r="B34" s="322"/>
      <c r="C34" s="322"/>
      <c r="D34" s="322"/>
      <c r="E34" s="322"/>
      <c r="F34" s="322"/>
      <c r="G34" s="322"/>
      <c r="H34" s="322"/>
      <c r="I34" s="322"/>
    </row>
    <row r="35" spans="2:9" s="323" customFormat="1" ht="12.75">
      <c r="B35" s="322"/>
      <c r="C35" s="322"/>
      <c r="D35" s="76"/>
      <c r="E35" s="76"/>
      <c r="F35" s="76"/>
      <c r="G35" s="76"/>
      <c r="H35" s="76"/>
      <c r="I35" s="76"/>
    </row>
    <row r="36" spans="2:9" s="323" customFormat="1" ht="12.75">
      <c r="B36" s="322"/>
      <c r="C36" s="322"/>
      <c r="D36" s="338"/>
      <c r="E36" s="338"/>
      <c r="F36" s="338"/>
      <c r="G36" s="338"/>
      <c r="H36" s="338"/>
      <c r="I36" s="338"/>
    </row>
    <row r="37" spans="2:9" s="323" customFormat="1" ht="12.75">
      <c r="B37" s="322"/>
      <c r="C37" s="338"/>
      <c r="D37" s="322"/>
      <c r="E37" s="322"/>
      <c r="F37" s="322"/>
      <c r="G37" s="322"/>
      <c r="H37" s="322"/>
      <c r="I37" s="338"/>
    </row>
    <row r="38" spans="2:9" s="323" customFormat="1" ht="12.75">
      <c r="B38" s="322"/>
      <c r="C38" s="322"/>
      <c r="D38" s="322"/>
      <c r="E38" s="322"/>
      <c r="F38" s="338"/>
      <c r="G38" s="322"/>
      <c r="H38" s="322"/>
      <c r="I38" s="338"/>
    </row>
    <row r="39" spans="2:9" s="323" customFormat="1" ht="12.75">
      <c r="B39" s="322"/>
      <c r="C39" s="322"/>
      <c r="D39" s="322"/>
      <c r="E39" s="322"/>
      <c r="F39" s="322"/>
      <c r="G39" s="322"/>
      <c r="H39" s="322"/>
      <c r="I39" s="338"/>
    </row>
    <row r="40" spans="2:9" s="323" customFormat="1" ht="12.75">
      <c r="B40" s="322"/>
      <c r="C40" s="322"/>
      <c r="D40" s="322"/>
      <c r="E40" s="322"/>
      <c r="F40" s="322"/>
      <c r="G40" s="322"/>
      <c r="H40" s="322"/>
      <c r="I40" s="322"/>
    </row>
    <row r="41" spans="2:9" s="323" customFormat="1" ht="12.75">
      <c r="B41" s="322"/>
      <c r="C41" s="322"/>
      <c r="D41" s="322"/>
      <c r="E41" s="322"/>
      <c r="F41" s="322"/>
      <c r="G41" s="322"/>
      <c r="H41" s="322"/>
      <c r="I41" s="322"/>
    </row>
    <row r="42" spans="2:9" s="323" customFormat="1" ht="12.75">
      <c r="B42" s="322"/>
      <c r="C42" s="322"/>
      <c r="D42" s="322"/>
      <c r="E42" s="322"/>
      <c r="F42" s="322"/>
      <c r="G42" s="322"/>
      <c r="H42" s="322"/>
      <c r="I42" s="322"/>
    </row>
    <row r="43" spans="2:9" s="323" customFormat="1" ht="12.75">
      <c r="B43" s="322"/>
      <c r="C43" s="322"/>
      <c r="D43" s="322"/>
      <c r="E43" s="322"/>
      <c r="F43" s="322"/>
      <c r="G43" s="322"/>
      <c r="H43" s="322"/>
      <c r="I43" s="322"/>
    </row>
    <row r="44" spans="2:9" s="323" customFormat="1" ht="12.75">
      <c r="B44" s="322"/>
      <c r="C44" s="322"/>
      <c r="D44" s="322"/>
      <c r="E44" s="322"/>
      <c r="F44" s="322"/>
      <c r="G44" s="322"/>
      <c r="H44" s="322"/>
      <c r="I44" s="322"/>
    </row>
    <row r="45" spans="2:9" s="323" customFormat="1" ht="12.75">
      <c r="B45" s="322"/>
      <c r="C45" s="322"/>
      <c r="D45" s="322"/>
      <c r="E45" s="322"/>
      <c r="F45" s="322"/>
      <c r="G45" s="322"/>
      <c r="H45" s="322"/>
      <c r="I45" s="322"/>
    </row>
    <row r="46" spans="2:9" s="323" customFormat="1" ht="12.75">
      <c r="B46" s="322"/>
      <c r="C46" s="322"/>
      <c r="D46" s="322"/>
      <c r="E46" s="322"/>
      <c r="F46" s="322"/>
      <c r="G46" s="322"/>
      <c r="H46" s="322"/>
      <c r="I46" s="322"/>
    </row>
    <row r="47" spans="2:9" s="323" customFormat="1" ht="12.75">
      <c r="B47" s="322"/>
      <c r="C47" s="322"/>
      <c r="D47" s="322"/>
      <c r="E47" s="322"/>
      <c r="F47" s="322"/>
      <c r="G47" s="322"/>
      <c r="H47" s="322"/>
      <c r="I47" s="322"/>
    </row>
    <row r="48" spans="2:9" s="323" customFormat="1" ht="12.75">
      <c r="B48" s="322"/>
      <c r="C48" s="322"/>
      <c r="D48" s="322"/>
      <c r="E48" s="322"/>
      <c r="F48" s="322"/>
      <c r="G48" s="322"/>
      <c r="H48" s="322"/>
      <c r="I48" s="322"/>
    </row>
    <row r="49" spans="2:9" s="323" customFormat="1" ht="12.75">
      <c r="B49" s="322"/>
      <c r="C49" s="322"/>
      <c r="D49" s="322"/>
      <c r="E49" s="322"/>
      <c r="F49" s="322"/>
      <c r="G49" s="322"/>
      <c r="H49" s="322"/>
      <c r="I49" s="322"/>
    </row>
    <row r="50" spans="2:9" s="323" customFormat="1" ht="12.75">
      <c r="B50" s="322"/>
      <c r="C50" s="322"/>
      <c r="D50" s="322"/>
      <c r="E50" s="322"/>
      <c r="F50" s="322"/>
      <c r="G50" s="322"/>
      <c r="H50" s="322"/>
      <c r="I50" s="322"/>
    </row>
    <row r="51" spans="2:9" s="323" customFormat="1" ht="12.75">
      <c r="B51" s="322"/>
      <c r="C51" s="322"/>
      <c r="D51" s="322"/>
      <c r="E51" s="322"/>
      <c r="F51" s="322"/>
      <c r="G51" s="322"/>
      <c r="H51" s="322"/>
      <c r="I51" s="322"/>
    </row>
    <row r="52" spans="2:9" s="323" customFormat="1" ht="12.75">
      <c r="B52" s="322"/>
      <c r="C52" s="322"/>
      <c r="D52" s="322"/>
      <c r="E52" s="322"/>
      <c r="F52" s="322"/>
      <c r="G52" s="322"/>
      <c r="H52" s="322"/>
      <c r="I52" s="322"/>
    </row>
  </sheetData>
  <sheetProtection/>
  <mergeCells count="2">
    <mergeCell ref="A3:I3"/>
    <mergeCell ref="A4:I4"/>
  </mergeCells>
  <printOptions/>
  <pageMargins left="0.46" right="0.75" top="0.6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6" sqref="C16:C17"/>
    </sheetView>
  </sheetViews>
  <sheetFormatPr defaultColWidth="9.00390625" defaultRowHeight="12.75"/>
  <cols>
    <col min="1" max="1" width="69.00390625" style="13" customWidth="1"/>
    <col min="2" max="2" width="10.875" style="13" bestFit="1" customWidth="1"/>
    <col min="3" max="3" width="11.125" style="13" customWidth="1"/>
    <col min="4" max="4" width="9.875" style="13" customWidth="1"/>
    <col min="5" max="6" width="9.125" style="13" customWidth="1"/>
    <col min="7" max="7" width="10.875" style="13" bestFit="1" customWidth="1"/>
    <col min="8" max="16384" width="9.125" style="13" customWidth="1"/>
  </cols>
  <sheetData>
    <row r="1" spans="2:7" ht="12.75">
      <c r="B1" s="194" t="s">
        <v>353</v>
      </c>
      <c r="C1" s="1309" t="str">
        <f>'bev-int'!B1</f>
        <v>melléklet a …/2024. (III.  .) önkormányzati rendelethez</v>
      </c>
      <c r="D1" s="1309"/>
      <c r="E1" s="1309"/>
      <c r="F1" s="1309"/>
      <c r="G1" s="1309"/>
    </row>
    <row r="6" spans="2:7" s="191" customFormat="1" ht="12.75">
      <c r="B6" s="1314"/>
      <c r="C6" s="1314"/>
      <c r="D6" s="1314"/>
      <c r="E6" s="1314"/>
      <c r="F6" s="1314"/>
      <c r="G6" s="1314"/>
    </row>
    <row r="7" spans="1:7" ht="12.75">
      <c r="A7" s="1315" t="s">
        <v>724</v>
      </c>
      <c r="B7" s="1315"/>
      <c r="C7" s="1315"/>
      <c r="D7" s="1315"/>
      <c r="E7" s="1315"/>
      <c r="F7" s="1315"/>
      <c r="G7" s="1315"/>
    </row>
    <row r="8" spans="1:7" ht="12.75">
      <c r="A8" s="257"/>
      <c r="B8" s="257"/>
      <c r="C8" s="257"/>
      <c r="D8" s="257"/>
      <c r="E8" s="257"/>
      <c r="F8" s="1316"/>
      <c r="G8" s="1316"/>
    </row>
    <row r="9" spans="1:7" ht="12.75">
      <c r="A9" s="258"/>
      <c r="B9" s="258"/>
      <c r="C9" s="258"/>
      <c r="D9" s="258"/>
      <c r="E9" s="258"/>
      <c r="F9" s="258"/>
      <c r="G9" s="258"/>
    </row>
    <row r="10" spans="1:7" ht="13.5" thickBot="1">
      <c r="A10" s="259"/>
      <c r="B10" s="1317" t="s">
        <v>725</v>
      </c>
      <c r="C10" s="1317"/>
      <c r="D10" s="1317"/>
      <c r="E10" s="1317"/>
      <c r="F10" s="1317"/>
      <c r="G10" s="1317"/>
    </row>
    <row r="11" spans="1:7" ht="12.75">
      <c r="A11" s="1318" t="s">
        <v>55</v>
      </c>
      <c r="B11" s="1304">
        <v>2023</v>
      </c>
      <c r="C11" s="1304">
        <v>2024</v>
      </c>
      <c r="D11" s="1304">
        <v>2025</v>
      </c>
      <c r="E11" s="1304">
        <v>2026</v>
      </c>
      <c r="F11" s="1307" t="s">
        <v>405</v>
      </c>
      <c r="G11" s="1312" t="s">
        <v>71</v>
      </c>
    </row>
    <row r="12" spans="1:7" ht="12.75">
      <c r="A12" s="1319"/>
      <c r="B12" s="1305"/>
      <c r="C12" s="1305"/>
      <c r="D12" s="1305"/>
      <c r="E12" s="1306"/>
      <c r="F12" s="1308"/>
      <c r="G12" s="1313"/>
    </row>
    <row r="13" spans="1:7" ht="12.75">
      <c r="A13" s="260"/>
      <c r="B13" s="164"/>
      <c r="C13" s="164"/>
      <c r="D13" s="164"/>
      <c r="E13" s="164"/>
      <c r="F13" s="164"/>
      <c r="G13" s="261"/>
    </row>
    <row r="14" spans="1:7" ht="12.75">
      <c r="A14" s="262"/>
      <c r="B14" s="249"/>
      <c r="C14" s="249"/>
      <c r="D14" s="249"/>
      <c r="E14" s="249"/>
      <c r="F14" s="249"/>
      <c r="G14" s="248"/>
    </row>
    <row r="15" spans="1:7" ht="12.75">
      <c r="A15" s="606" t="s">
        <v>406</v>
      </c>
      <c r="B15" s="249">
        <v>19050</v>
      </c>
      <c r="C15" s="249">
        <v>5715</v>
      </c>
      <c r="D15" s="249">
        <v>5715</v>
      </c>
      <c r="E15" s="249">
        <v>5715</v>
      </c>
      <c r="F15" s="249">
        <v>5715</v>
      </c>
      <c r="G15" s="248">
        <f aca="true" t="shared" si="0" ref="G15:G20">SUM(B15:F15)</f>
        <v>41910</v>
      </c>
    </row>
    <row r="16" spans="1:7" ht="12.75">
      <c r="A16" s="606" t="s">
        <v>830</v>
      </c>
      <c r="B16" s="249">
        <v>25000</v>
      </c>
      <c r="C16" s="249">
        <v>140091</v>
      </c>
      <c r="D16" s="249">
        <v>25000</v>
      </c>
      <c r="E16" s="249"/>
      <c r="F16" s="249"/>
      <c r="G16" s="248">
        <f t="shared" si="0"/>
        <v>190091</v>
      </c>
    </row>
    <row r="17" spans="1:7" ht="12.75">
      <c r="A17" s="607" t="s">
        <v>831</v>
      </c>
      <c r="B17" s="250">
        <v>145000</v>
      </c>
      <c r="C17" s="250">
        <v>103021</v>
      </c>
      <c r="D17" s="250"/>
      <c r="E17" s="250"/>
      <c r="F17" s="250"/>
      <c r="G17" s="248">
        <f t="shared" si="0"/>
        <v>248021</v>
      </c>
    </row>
    <row r="18" spans="1:7" ht="12.75">
      <c r="A18" s="251"/>
      <c r="B18" s="250"/>
      <c r="C18" s="250"/>
      <c r="D18" s="250"/>
      <c r="E18" s="250"/>
      <c r="F18" s="250"/>
      <c r="G18" s="248">
        <f t="shared" si="0"/>
        <v>0</v>
      </c>
    </row>
    <row r="19" spans="1:7" ht="12.75" customHeight="1">
      <c r="A19" s="251"/>
      <c r="B19" s="250"/>
      <c r="C19" s="250"/>
      <c r="D19" s="250"/>
      <c r="E19" s="250"/>
      <c r="F19" s="250"/>
      <c r="G19" s="248">
        <f t="shared" si="0"/>
        <v>0</v>
      </c>
    </row>
    <row r="20" spans="1:7" ht="12.75" customHeight="1">
      <c r="A20" s="252"/>
      <c r="B20" s="250"/>
      <c r="C20" s="250"/>
      <c r="D20" s="250"/>
      <c r="E20" s="250"/>
      <c r="F20" s="250"/>
      <c r="G20" s="248">
        <f t="shared" si="0"/>
        <v>0</v>
      </c>
    </row>
    <row r="21" spans="1:9" ht="12.75">
      <c r="A21" s="253" t="s">
        <v>388</v>
      </c>
      <c r="B21" s="254">
        <f aca="true" t="shared" si="1" ref="B21:G21">SUM(B14:B20)</f>
        <v>189050</v>
      </c>
      <c r="C21" s="254">
        <f t="shared" si="1"/>
        <v>248827</v>
      </c>
      <c r="D21" s="254">
        <f t="shared" si="1"/>
        <v>30715</v>
      </c>
      <c r="E21" s="254">
        <f t="shared" si="1"/>
        <v>5715</v>
      </c>
      <c r="F21" s="254">
        <f t="shared" si="1"/>
        <v>5715</v>
      </c>
      <c r="G21" s="255">
        <f t="shared" si="1"/>
        <v>480022</v>
      </c>
      <c r="H21" s="192"/>
      <c r="I21" s="192"/>
    </row>
    <row r="22" spans="1:7" ht="12.75">
      <c r="A22" s="253"/>
      <c r="B22" s="254"/>
      <c r="C22" s="254"/>
      <c r="D22" s="254"/>
      <c r="E22" s="254"/>
      <c r="F22" s="254"/>
      <c r="G22" s="255"/>
    </row>
    <row r="23" spans="1:7" ht="12.75">
      <c r="A23" s="252" t="s">
        <v>389</v>
      </c>
      <c r="B23" s="249">
        <v>2327</v>
      </c>
      <c r="C23" s="249">
        <v>2100</v>
      </c>
      <c r="D23" s="249">
        <v>1900</v>
      </c>
      <c r="E23" s="249">
        <v>1100</v>
      </c>
      <c r="F23" s="249">
        <v>1100</v>
      </c>
      <c r="G23" s="248">
        <f>SUM(B23:F23)</f>
        <v>8527</v>
      </c>
    </row>
    <row r="24" spans="1:7" ht="12.75">
      <c r="A24" s="252"/>
      <c r="B24" s="249"/>
      <c r="C24" s="249"/>
      <c r="D24" s="249"/>
      <c r="E24" s="249"/>
      <c r="F24" s="249"/>
      <c r="G24" s="248">
        <f>SUM(B24:F24)</f>
        <v>0</v>
      </c>
    </row>
    <row r="25" spans="1:9" ht="12.75">
      <c r="A25" s="253" t="s">
        <v>390</v>
      </c>
      <c r="B25" s="254">
        <f aca="true" t="shared" si="2" ref="B25:G25">SUM(B23:B24)</f>
        <v>2327</v>
      </c>
      <c r="C25" s="254">
        <f t="shared" si="2"/>
        <v>2100</v>
      </c>
      <c r="D25" s="254">
        <f t="shared" si="2"/>
        <v>1900</v>
      </c>
      <c r="E25" s="254">
        <f t="shared" si="2"/>
        <v>1100</v>
      </c>
      <c r="F25" s="254">
        <f t="shared" si="2"/>
        <v>1100</v>
      </c>
      <c r="G25" s="255">
        <f t="shared" si="2"/>
        <v>8527</v>
      </c>
      <c r="H25" s="192"/>
      <c r="I25" s="192"/>
    </row>
    <row r="26" spans="1:7" ht="12.75">
      <c r="A26" s="252"/>
      <c r="B26" s="249"/>
      <c r="C26" s="249"/>
      <c r="D26" s="249"/>
      <c r="E26" s="249"/>
      <c r="F26" s="249"/>
      <c r="G26" s="256"/>
    </row>
    <row r="27" spans="1:7" ht="12.75">
      <c r="A27" s="1300" t="s">
        <v>391</v>
      </c>
      <c r="B27" s="1302">
        <f aca="true" t="shared" si="3" ref="B27:G27">SUM(B21-B25)</f>
        <v>186723</v>
      </c>
      <c r="C27" s="1302">
        <f t="shared" si="3"/>
        <v>246727</v>
      </c>
      <c r="D27" s="1302">
        <f t="shared" si="3"/>
        <v>28815</v>
      </c>
      <c r="E27" s="1302">
        <f t="shared" si="3"/>
        <v>4615</v>
      </c>
      <c r="F27" s="1302">
        <f t="shared" si="3"/>
        <v>4615</v>
      </c>
      <c r="G27" s="1310">
        <f t="shared" si="3"/>
        <v>471495</v>
      </c>
    </row>
    <row r="28" spans="1:7" ht="13.5" thickBot="1">
      <c r="A28" s="1301"/>
      <c r="B28" s="1303"/>
      <c r="C28" s="1303"/>
      <c r="D28" s="1303"/>
      <c r="E28" s="1303"/>
      <c r="F28" s="1303"/>
      <c r="G28" s="1311"/>
    </row>
    <row r="29" spans="1:7" ht="12.75">
      <c r="A29" s="162"/>
      <c r="B29" s="162"/>
      <c r="C29" s="162"/>
      <c r="D29" s="162"/>
      <c r="E29" s="162"/>
      <c r="F29" s="162"/>
      <c r="G29" s="162"/>
    </row>
    <row r="30" spans="1:7" ht="12.75">
      <c r="A30" s="195"/>
      <c r="B30" s="195"/>
      <c r="C30" s="195"/>
      <c r="D30" s="195"/>
      <c r="E30" s="195"/>
      <c r="F30" s="195"/>
      <c r="G30" s="195"/>
    </row>
  </sheetData>
  <sheetProtection/>
  <mergeCells count="19">
    <mergeCell ref="F11:F12"/>
    <mergeCell ref="C1:G1"/>
    <mergeCell ref="G27:G28"/>
    <mergeCell ref="F27:F28"/>
    <mergeCell ref="G11:G12"/>
    <mergeCell ref="B6:G6"/>
    <mergeCell ref="A7:G7"/>
    <mergeCell ref="F8:G8"/>
    <mergeCell ref="B10:G10"/>
    <mergeCell ref="A11:A12"/>
    <mergeCell ref="A27:A28"/>
    <mergeCell ref="B27:B28"/>
    <mergeCell ref="C27:C28"/>
    <mergeCell ref="D27:D28"/>
    <mergeCell ref="E27:E28"/>
    <mergeCell ref="D11:D12"/>
    <mergeCell ref="E11:E12"/>
    <mergeCell ref="B11:B12"/>
    <mergeCell ref="C11:C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8">
      <selection activeCell="C41" sqref="C41"/>
    </sheetView>
  </sheetViews>
  <sheetFormatPr defaultColWidth="9.00390625" defaultRowHeight="12.75"/>
  <cols>
    <col min="1" max="1" width="48.25390625" style="16" customWidth="1"/>
    <col min="2" max="3" width="12.75390625" style="16" customWidth="1"/>
    <col min="4" max="4" width="45.75390625" style="16" customWidth="1"/>
    <col min="5" max="5" width="13.125" style="16" bestFit="1" customWidth="1"/>
    <col min="6" max="6" width="13.125" style="16" customWidth="1"/>
    <col min="7" max="16384" width="9.125" style="16" customWidth="1"/>
  </cols>
  <sheetData>
    <row r="3" spans="2:4" ht="12.75">
      <c r="B3" s="291"/>
      <c r="C3" s="291" t="s">
        <v>335</v>
      </c>
      <c r="D3" s="16" t="str">
        <f>'bev-int'!B1</f>
        <v>melléklet a …/2024. (III.  .) önkormányzati rendelethez</v>
      </c>
    </row>
    <row r="5" spans="1:6" ht="12.75">
      <c r="A5" s="1320" t="s">
        <v>726</v>
      </c>
      <c r="B5" s="1320"/>
      <c r="C5" s="1320"/>
      <c r="D5" s="1320"/>
      <c r="E5" s="1320"/>
      <c r="F5" s="1320"/>
    </row>
    <row r="6" spans="2:4" ht="12.75">
      <c r="B6" s="24"/>
      <c r="C6" s="24"/>
      <c r="D6" s="24"/>
    </row>
    <row r="7" spans="5:6" ht="13.5" thickBot="1">
      <c r="E7" s="40"/>
      <c r="F7" s="291" t="s">
        <v>705</v>
      </c>
    </row>
    <row r="8" spans="1:6" ht="26.25" thickBot="1">
      <c r="A8" s="38" t="s">
        <v>91</v>
      </c>
      <c r="B8" s="43" t="s">
        <v>727</v>
      </c>
      <c r="C8" s="43" t="s">
        <v>836</v>
      </c>
      <c r="D8" s="38" t="s">
        <v>94</v>
      </c>
      <c r="E8" s="43" t="s">
        <v>727</v>
      </c>
      <c r="F8" s="43" t="s">
        <v>836</v>
      </c>
    </row>
    <row r="9" spans="1:6" s="24" customFormat="1" ht="12.75">
      <c r="A9" s="121" t="str">
        <f>'bev-int'!A15</f>
        <v>Működési célú támogatások ÁH belülről</v>
      </c>
      <c r="B9" s="121">
        <f>'bev-int'!B15</f>
        <v>979692356</v>
      </c>
      <c r="C9" s="121">
        <f>'bev-int'!C15</f>
        <v>1264670240.6</v>
      </c>
      <c r="D9" s="121" t="str">
        <f>'kiad-int'!A8</f>
        <v>Személyi juttatások</v>
      </c>
      <c r="E9" s="116">
        <f>'kiad-int'!B8</f>
        <v>962864730</v>
      </c>
      <c r="F9" s="116">
        <f>'kiad-int'!C8</f>
        <v>960707200</v>
      </c>
    </row>
    <row r="10" spans="1:6" s="24" customFormat="1" ht="12.75">
      <c r="A10" s="119" t="str">
        <f>'bev-int'!A21</f>
        <v>Felhalmozási célú támogatások ÁH belülről</v>
      </c>
      <c r="B10" s="119">
        <f>'bev-int'!B21</f>
        <v>200905588</v>
      </c>
      <c r="C10" s="119">
        <f>'bev-int'!C21</f>
        <v>1073495706</v>
      </c>
      <c r="D10" s="119" t="str">
        <f>'kiad-int'!A9</f>
        <v>Munkaadókat terhelő járulékok</v>
      </c>
      <c r="E10" s="117">
        <f>'kiad-int'!B9</f>
        <v>139619208</v>
      </c>
      <c r="F10" s="117">
        <f>'kiad-int'!C9</f>
        <v>137903789</v>
      </c>
    </row>
    <row r="11" spans="1:6" s="24" customFormat="1" ht="12.75">
      <c r="A11" s="119" t="str">
        <f>'bev-int'!A26</f>
        <v>Közhatalmi bevételek</v>
      </c>
      <c r="B11" s="119">
        <f>'bev-int'!B26</f>
        <v>347485480</v>
      </c>
      <c r="C11" s="119">
        <f>'bev-int'!C26</f>
        <v>522382745</v>
      </c>
      <c r="D11" s="119" t="str">
        <f>'kiad-int'!A10</f>
        <v>Készletbeszerzés</v>
      </c>
      <c r="E11" s="117">
        <f>'kiad-int'!B10</f>
        <v>196224092</v>
      </c>
      <c r="F11" s="117">
        <f>'kiad-int'!C10</f>
        <v>223884986</v>
      </c>
    </row>
    <row r="12" spans="1:6" s="24" customFormat="1" ht="12.75">
      <c r="A12" s="119" t="str">
        <f>'bev-int'!A27</f>
        <v>Működési bevételek</v>
      </c>
      <c r="B12" s="119">
        <f>'bev-int'!B27</f>
        <v>636897902</v>
      </c>
      <c r="C12" s="119">
        <f>'bev-int'!C27</f>
        <v>528123368</v>
      </c>
      <c r="D12" s="119" t="str">
        <f>'kiad-int'!A11</f>
        <v>Kommunikációs szolgáltatások</v>
      </c>
      <c r="E12" s="117">
        <f>'kiad-int'!B11</f>
        <v>17948734</v>
      </c>
      <c r="F12" s="117">
        <f>'kiad-int'!C11</f>
        <v>18857024</v>
      </c>
    </row>
    <row r="13" spans="1:6" s="24" customFormat="1" ht="12.75">
      <c r="A13" s="119" t="str">
        <f>'bev-int'!A28</f>
        <v>Felhalmozási bevételek</v>
      </c>
      <c r="B13" s="119">
        <f>'bev-int'!B28</f>
        <v>0</v>
      </c>
      <c r="C13" s="119">
        <f>'bev-int'!C28</f>
        <v>593323</v>
      </c>
      <c r="D13" s="119" t="str">
        <f>'kiad-int'!A12</f>
        <v>Szolgáltatási kiadások</v>
      </c>
      <c r="E13" s="117">
        <f>'kiad-int'!B12</f>
        <v>352291315</v>
      </c>
      <c r="F13" s="117">
        <f>'kiad-int'!C12</f>
        <v>375375091</v>
      </c>
    </row>
    <row r="14" spans="1:6" s="24" customFormat="1" ht="12.75">
      <c r="A14" s="119" t="str">
        <f>'bev-int'!A29</f>
        <v>Működési célú átvett pénzeszközök</v>
      </c>
      <c r="B14" s="119">
        <f>'bev-int'!B29</f>
        <v>40229130</v>
      </c>
      <c r="C14" s="119">
        <f>'bev-int'!C29</f>
        <v>400000</v>
      </c>
      <c r="D14" s="119" t="str">
        <f>'kiad-int'!A13</f>
        <v>Kiküldetés, reklám- és propagamda kiadások</v>
      </c>
      <c r="E14" s="117">
        <f>'kiad-int'!B13</f>
        <v>1935000</v>
      </c>
      <c r="F14" s="117">
        <f>'kiad-int'!C13</f>
        <v>1903307</v>
      </c>
    </row>
    <row r="15" spans="1:6" s="24" customFormat="1" ht="12.75">
      <c r="A15" s="119" t="str">
        <f>'bev-int'!A30</f>
        <v>Felhalmozási célú átvett pénzeszközök</v>
      </c>
      <c r="B15" s="119">
        <f>'bev-int'!B30</f>
        <v>2327340</v>
      </c>
      <c r="C15" s="119">
        <f>'bev-int'!C30</f>
        <v>63329627</v>
      </c>
      <c r="D15" s="119" t="str">
        <f>'kiad-int'!A14</f>
        <v>Különféle befizetések és egyéb dologi kiadások</v>
      </c>
      <c r="E15" s="117">
        <f>'kiad-int'!B14</f>
        <v>723456116</v>
      </c>
      <c r="F15" s="117">
        <f>'kiad-int'!C14</f>
        <v>779643704</v>
      </c>
    </row>
    <row r="16" spans="1:6" s="24" customFormat="1" ht="12.75">
      <c r="A16" s="119"/>
      <c r="B16" s="119"/>
      <c r="C16" s="119"/>
      <c r="D16" s="119" t="str">
        <f>'kiad-int'!A16</f>
        <v>Ellátottak pénzbeli juttatásai</v>
      </c>
      <c r="E16" s="117">
        <f>'kiad-int'!B16</f>
        <v>6570000</v>
      </c>
      <c r="F16" s="117">
        <f>'kiad-int'!C16</f>
        <v>6840637</v>
      </c>
    </row>
    <row r="17" spans="1:6" s="24" customFormat="1" ht="12.75">
      <c r="A17" s="119"/>
      <c r="B17" s="119"/>
      <c r="C17" s="119"/>
      <c r="D17" s="119" t="str">
        <f>'kiad-int'!A17</f>
        <v>Egyéb működési célú kiadások</v>
      </c>
      <c r="E17" s="117">
        <f>'kiad-int'!B17</f>
        <v>355591928</v>
      </c>
      <c r="F17" s="117">
        <f>'kiad-int'!C17</f>
        <v>661779950</v>
      </c>
    </row>
    <row r="18" spans="1:6" s="24" customFormat="1" ht="12.75">
      <c r="A18" s="119"/>
      <c r="B18" s="119"/>
      <c r="C18" s="119"/>
      <c r="D18" s="119" t="str">
        <f>'kiad-int'!A19</f>
        <v>Beruházások</v>
      </c>
      <c r="E18" s="117">
        <f>'kiad-int'!B19</f>
        <v>915580011</v>
      </c>
      <c r="F18" s="117">
        <f>'kiad-int'!C19</f>
        <v>1233006384</v>
      </c>
    </row>
    <row r="19" spans="1:6" s="24" customFormat="1" ht="12.75">
      <c r="A19" s="124"/>
      <c r="B19" s="124"/>
      <c r="C19" s="124"/>
      <c r="D19" s="124" t="str">
        <f>'kiad-int'!A20</f>
        <v>Felújítások</v>
      </c>
      <c r="E19" s="117">
        <f>'kiad-int'!B20</f>
        <v>1547119619</v>
      </c>
      <c r="F19" s="117">
        <f>'kiad-int'!C20</f>
        <v>2114569725</v>
      </c>
    </row>
    <row r="20" spans="1:6" s="24" customFormat="1" ht="12.75">
      <c r="A20" s="124"/>
      <c r="B20" s="124"/>
      <c r="C20" s="124"/>
      <c r="D20" s="124" t="str">
        <f>'kiad-int'!A21</f>
        <v>Egyéb felhalmozási célú kiadások</v>
      </c>
      <c r="E20" s="118">
        <f>'kiad-int'!B21</f>
        <v>33000000</v>
      </c>
      <c r="F20" s="118">
        <f>'kiad-int'!C21</f>
        <v>34380000</v>
      </c>
    </row>
    <row r="21" spans="1:6" s="24" customFormat="1" ht="13.5" thickBot="1">
      <c r="A21" s="25"/>
      <c r="B21" s="25"/>
      <c r="C21" s="25"/>
      <c r="D21" s="25"/>
      <c r="E21" s="25"/>
      <c r="F21" s="25"/>
    </row>
    <row r="22" spans="1:6" ht="13.5" thickBot="1">
      <c r="A22" s="29" t="str">
        <f>'bev-int'!A31</f>
        <v>Költségvetési bevételek:</v>
      </c>
      <c r="B22" s="29">
        <f>SUM(B9:B21)</f>
        <v>2207537796</v>
      </c>
      <c r="C22" s="29">
        <f>SUM(C9:C21)</f>
        <v>3452995009.6</v>
      </c>
      <c r="D22" s="29" t="str">
        <f>'kiad-int'!A22</f>
        <v>Költségvetési kiadások:</v>
      </c>
      <c r="E22" s="29">
        <f>SUM(E9:E21)</f>
        <v>5252200753</v>
      </c>
      <c r="F22" s="29">
        <f>SUM(F9:F21)</f>
        <v>6548851797</v>
      </c>
    </row>
    <row r="23" spans="1:6" ht="12.75">
      <c r="A23" s="26" t="str">
        <f>'bev-int'!A32</f>
        <v>Hitel, kölcsönfelvétel ÁH kívülről</v>
      </c>
      <c r="B23" s="26">
        <f>'bev-int'!B32</f>
        <v>0</v>
      </c>
      <c r="C23" s="26">
        <f>'bev-int'!C32</f>
        <v>0</v>
      </c>
      <c r="D23" s="26" t="str">
        <f>'kiad-int'!A23</f>
        <v>Hitel, kölcsöntörlesztés ÁH kívülre</v>
      </c>
      <c r="E23" s="26">
        <f>'kiad-int'!B23</f>
        <v>0</v>
      </c>
      <c r="F23" s="26">
        <f>'kiad-int'!C23</f>
        <v>0</v>
      </c>
    </row>
    <row r="24" spans="1:6" ht="12.75">
      <c r="A24" s="27" t="str">
        <f>'bev-int'!A33</f>
        <v>Belföldi értékpapírok bevételei</v>
      </c>
      <c r="B24" s="26">
        <f>'bev-int'!B33</f>
        <v>0</v>
      </c>
      <c r="C24" s="26">
        <f>'bev-int'!C33</f>
        <v>0</v>
      </c>
      <c r="D24" s="26" t="str">
        <f>'kiad-int'!A24</f>
        <v>Belföldi értékpapírok kiadásai</v>
      </c>
      <c r="E24" s="26">
        <f>'kiad-int'!B24</f>
        <v>0</v>
      </c>
      <c r="F24" s="26">
        <f>'kiad-int'!C24</f>
        <v>0</v>
      </c>
    </row>
    <row r="25" spans="1:6" ht="12.75">
      <c r="A25" s="27" t="str">
        <f>'bev-int'!A34</f>
        <v>Maradvány igénybevétele</v>
      </c>
      <c r="B25" s="26">
        <f>'bev-int'!B34</f>
        <v>3082384687</v>
      </c>
      <c r="C25" s="26">
        <f>'bev-int'!C34</f>
        <v>3090560001</v>
      </c>
      <c r="D25" s="26" t="str">
        <f>'kiad-int'!A25</f>
        <v>ÁH belüli megelőlegezések</v>
      </c>
      <c r="E25" s="26">
        <f>'kiad-int'!B25</f>
        <v>0</v>
      </c>
      <c r="F25" s="26">
        <f>'kiad-int'!C25</f>
        <v>0</v>
      </c>
    </row>
    <row r="26" spans="1:6" ht="12.75">
      <c r="A26" s="27" t="str">
        <f>'bev-int'!A35</f>
        <v>ÁH belüli megelőlegezések</v>
      </c>
      <c r="B26" s="26">
        <f>'bev-int'!B35</f>
        <v>0</v>
      </c>
      <c r="C26" s="26">
        <f>'bev-int'!C35</f>
        <v>43500865</v>
      </c>
      <c r="D26" s="26" t="str">
        <f>'kiad-int'!A26</f>
        <v>ÁH belüli megelőlegezések visszafizetése</v>
      </c>
      <c r="E26" s="26">
        <f>'kiad-int'!B26</f>
        <v>37721730</v>
      </c>
      <c r="F26" s="26">
        <f>'kiad-int'!C26</f>
        <v>38204079</v>
      </c>
    </row>
    <row r="27" spans="1:6" ht="12.75">
      <c r="A27" s="27" t="str">
        <f>'bev-int'!A36</f>
        <v>ÁH belüli megelőlegezések visszafizetése</v>
      </c>
      <c r="B27" s="26">
        <f>'bev-int'!B36</f>
        <v>0</v>
      </c>
      <c r="C27" s="26">
        <f>'bev-int'!C36</f>
        <v>0</v>
      </c>
      <c r="D27" s="26" t="str">
        <f>'kiad-int'!A27</f>
        <v>Központi, irányító szervi támogatás folyósítása</v>
      </c>
      <c r="E27" s="26">
        <f>'kiad-int'!B27</f>
        <v>1128207814</v>
      </c>
      <c r="F27" s="26">
        <f>'kiad-int'!C27</f>
        <v>1206045772</v>
      </c>
    </row>
    <row r="28" spans="1:6" ht="12.75">
      <c r="A28" s="27" t="str">
        <f>'bev-int'!A37</f>
        <v>Központi, irányító szervi támogatás</v>
      </c>
      <c r="B28" s="26">
        <f>'bev-int'!B37</f>
        <v>1128207814</v>
      </c>
      <c r="C28" s="26">
        <f>'bev-int'!C37</f>
        <v>1206045772</v>
      </c>
      <c r="D28" s="26" t="str">
        <f>'kiad-int'!A28</f>
        <v>Pe.betétként elhelyezése, kincstárjegy vás.</v>
      </c>
      <c r="E28" s="26">
        <f>'kiad-int'!B28</f>
        <v>0</v>
      </c>
      <c r="F28" s="26">
        <f>'kiad-int'!C28</f>
        <v>0</v>
      </c>
    </row>
    <row r="29" spans="1:6" ht="13.5" thickBot="1">
      <c r="A29" s="28" t="str">
        <f>'bev-int'!A38</f>
        <v>Betétek megszüntetése, kincstárjegy vissszavásárlás</v>
      </c>
      <c r="B29" s="26">
        <f>'bev-int'!B38</f>
        <v>0</v>
      </c>
      <c r="C29" s="26">
        <f>'bev-int'!C38</f>
        <v>0</v>
      </c>
      <c r="D29" s="28"/>
      <c r="E29" s="28"/>
      <c r="F29" s="28"/>
    </row>
    <row r="30" spans="1:6" s="24" customFormat="1" ht="13.5" thickBot="1">
      <c r="A30" s="29" t="str">
        <f>'bev-int'!A39</f>
        <v>Belföldi finanszírozás bevételei</v>
      </c>
      <c r="B30" s="29">
        <f>'bev-int'!B39</f>
        <v>4210592501</v>
      </c>
      <c r="C30" s="29">
        <f>'bev-int'!C39</f>
        <v>4340106638</v>
      </c>
      <c r="D30" s="29" t="str">
        <f>'kiad-int'!A29</f>
        <v>Belföldi finanszírozás kiadásai</v>
      </c>
      <c r="E30" s="29">
        <f>SUM(E23:E29)</f>
        <v>1165929544</v>
      </c>
      <c r="F30" s="29">
        <f>SUM(F23:F29)</f>
        <v>1244249851</v>
      </c>
    </row>
    <row r="31" spans="1:6" s="24" customFormat="1" ht="13.5" thickBot="1">
      <c r="A31" s="29" t="str">
        <f>'bev-int'!A40</f>
        <v>Külföldi finanszírozás bevételei</v>
      </c>
      <c r="B31" s="29">
        <f>'bev-int'!B40</f>
        <v>0</v>
      </c>
      <c r="C31" s="29">
        <f>'bev-int'!C40</f>
        <v>0</v>
      </c>
      <c r="D31" s="29" t="str">
        <f>'kiad-int'!A30</f>
        <v>Külföldi finanszírozás kiadásai</v>
      </c>
      <c r="E31" s="29">
        <f>'kiad-int'!B30</f>
        <v>0</v>
      </c>
      <c r="F31" s="29">
        <f>'kiad-int'!C30</f>
        <v>0</v>
      </c>
    </row>
    <row r="32" spans="1:6" s="24" customFormat="1" ht="13.5" thickBot="1">
      <c r="A32" s="29" t="str">
        <f>'bev-int'!A41</f>
        <v>Adóssághoz nem kapcs.származékos ügyl.bevét.</v>
      </c>
      <c r="B32" s="29">
        <f>'bev-int'!B41</f>
        <v>0</v>
      </c>
      <c r="C32" s="29">
        <f>'bev-int'!C41</f>
        <v>0</v>
      </c>
      <c r="D32" s="29" t="str">
        <f>'kiad-int'!A31</f>
        <v>Adóssághoz nem kapcs.származékos ügyl.kiad.</v>
      </c>
      <c r="E32" s="29">
        <f>'kiad-int'!B31</f>
        <v>0</v>
      </c>
      <c r="F32" s="29">
        <f>'kiad-int'!C31</f>
        <v>0</v>
      </c>
    </row>
    <row r="33" spans="1:6" s="24" customFormat="1" ht="13.5" thickBot="1">
      <c r="A33" s="29" t="str">
        <f>'bev-int'!A42</f>
        <v>Finanszírozási bevételek</v>
      </c>
      <c r="B33" s="29">
        <f>'bev-int'!B42</f>
        <v>4210592501</v>
      </c>
      <c r="C33" s="29">
        <f>'bev-int'!C42</f>
        <v>4340106638</v>
      </c>
      <c r="D33" s="29" t="str">
        <f>'kiad-int'!A32</f>
        <v>Finanszírozási kiadások</v>
      </c>
      <c r="E33" s="29">
        <f>'kiad-int'!B32</f>
        <v>1165929544</v>
      </c>
      <c r="F33" s="29">
        <f>'kiad-int'!C32</f>
        <v>1244249851</v>
      </c>
    </row>
    <row r="34" spans="1:6" s="45" customFormat="1" ht="13.5" thickBot="1">
      <c r="A34" s="44" t="s">
        <v>220</v>
      </c>
      <c r="B34" s="29">
        <f>'bev-int'!B43</f>
        <v>6418130297</v>
      </c>
      <c r="C34" s="29">
        <f>'bev-int'!C43</f>
        <v>7793101647.6</v>
      </c>
      <c r="D34" s="44" t="str">
        <f>'kiad-int'!A33</f>
        <v>Kiadások összesen:</v>
      </c>
      <c r="E34" s="29">
        <f>'kiad-int'!B33</f>
        <v>6418130297</v>
      </c>
      <c r="F34" s="29">
        <f>'kiad-int'!C33</f>
        <v>7793101648</v>
      </c>
    </row>
    <row r="35" spans="2:6" ht="12.75">
      <c r="B35" s="188"/>
      <c r="C35" s="188"/>
      <c r="E35" s="188"/>
      <c r="F35" s="188"/>
    </row>
    <row r="36" spans="2:6" ht="12.75">
      <c r="B36" s="188"/>
      <c r="C36" s="188"/>
      <c r="E36" s="188"/>
      <c r="F36" s="188"/>
    </row>
    <row r="37" spans="1:6" s="24" customFormat="1" ht="12.75">
      <c r="A37" s="24" t="s">
        <v>221</v>
      </c>
      <c r="B37" s="189">
        <f>B34-E34</f>
        <v>0</v>
      </c>
      <c r="C37" s="189">
        <f>C34-F34</f>
        <v>-0.39999961853027344</v>
      </c>
      <c r="D37" s="189"/>
      <c r="E37" s="189"/>
      <c r="F37" s="189"/>
    </row>
    <row r="38" spans="2:3" ht="12.75">
      <c r="B38" s="188"/>
      <c r="C38" s="188"/>
    </row>
    <row r="39" spans="2:3" ht="12.75">
      <c r="B39" s="188"/>
      <c r="C39" s="188"/>
    </row>
    <row r="40" spans="2:4" ht="12.75">
      <c r="B40" s="1091">
        <f>C22-F22</f>
        <v>-3095856787.4</v>
      </c>
      <c r="C40" s="16">
        <f>F22-C22</f>
        <v>3095856787.4</v>
      </c>
      <c r="D40" s="93" t="s">
        <v>686</v>
      </c>
    </row>
    <row r="42" ht="12.75">
      <c r="C42" s="16">
        <f>C33-F33</f>
        <v>3095856787</v>
      </c>
    </row>
    <row r="45" ht="12.75">
      <c r="C45" s="189"/>
    </row>
  </sheetData>
  <sheetProtection/>
  <mergeCells count="1">
    <mergeCell ref="A5:F5"/>
  </mergeCells>
  <printOptions horizontalCentered="1"/>
  <pageMargins left="0.1968503937007874" right="0.15748031496062992" top="0.984251968503937" bottom="0.5511811023622047" header="0.5118110236220472" footer="0.511811023622047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F37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5.75390625" style="16" customWidth="1"/>
    <col min="2" max="3" width="13.125" style="16" customWidth="1"/>
    <col min="4" max="4" width="45.75390625" style="16" customWidth="1"/>
    <col min="5" max="6" width="12.875" style="16" customWidth="1"/>
    <col min="7" max="16384" width="9.125" style="16" customWidth="1"/>
  </cols>
  <sheetData>
    <row r="3" spans="2:4" ht="12.75">
      <c r="B3" s="291"/>
      <c r="C3" s="291" t="s">
        <v>336</v>
      </c>
      <c r="D3" s="16" t="str">
        <f>'bev-int'!B1</f>
        <v>melléklet a …/2024. (III.  .) önkormányzati rendelethez</v>
      </c>
    </row>
    <row r="6" spans="1:6" ht="12.75">
      <c r="A6" s="1320" t="s">
        <v>837</v>
      </c>
      <c r="B6" s="1320"/>
      <c r="C6" s="1320"/>
      <c r="D6" s="1320"/>
      <c r="E6" s="1320"/>
      <c r="F6" s="1320"/>
    </row>
    <row r="7" spans="5:6" ht="13.5" thickBot="1">
      <c r="E7" s="113"/>
      <c r="F7" s="1137" t="s">
        <v>705</v>
      </c>
    </row>
    <row r="8" spans="1:6" ht="26.25" thickBot="1">
      <c r="A8" s="46" t="s">
        <v>91</v>
      </c>
      <c r="B8" s="43" t="s">
        <v>727</v>
      </c>
      <c r="C8" s="43" t="s">
        <v>836</v>
      </c>
      <c r="D8" s="292" t="s">
        <v>94</v>
      </c>
      <c r="E8" s="43" t="s">
        <v>727</v>
      </c>
      <c r="F8" s="43" t="s">
        <v>836</v>
      </c>
    </row>
    <row r="9" spans="1:6" s="24" customFormat="1" ht="12.75">
      <c r="A9" s="120" t="str">
        <f>'bev-int'!A15</f>
        <v>Működési célú támogatások ÁH belülről</v>
      </c>
      <c r="B9" s="121">
        <f>'bev-int'!B15</f>
        <v>979692356</v>
      </c>
      <c r="C9" s="121">
        <f>'bev-int'!C15</f>
        <v>1264670240.6</v>
      </c>
      <c r="D9" s="116" t="str">
        <f>'kiad-int'!A8</f>
        <v>Személyi juttatások</v>
      </c>
      <c r="E9" s="116">
        <f>'kiad-int'!B8</f>
        <v>962864730</v>
      </c>
      <c r="F9" s="116">
        <f>'kiad-int'!C8</f>
        <v>960707200</v>
      </c>
    </row>
    <row r="10" spans="1:6" s="24" customFormat="1" ht="12.75">
      <c r="A10" s="122"/>
      <c r="B10" s="119"/>
      <c r="C10" s="119"/>
      <c r="D10" s="117" t="str">
        <f>'kiad-int'!A9</f>
        <v>Munkaadókat terhelő járulékok</v>
      </c>
      <c r="E10" s="117">
        <f>'kiad-int'!B9</f>
        <v>139619208</v>
      </c>
      <c r="F10" s="117">
        <f>'kiad-int'!C9</f>
        <v>137903789</v>
      </c>
    </row>
    <row r="11" spans="1:6" s="24" customFormat="1" ht="12.75">
      <c r="A11" s="122" t="str">
        <f>'bev-int'!A26</f>
        <v>Közhatalmi bevételek</v>
      </c>
      <c r="B11" s="119">
        <f>'bev-int'!B26-b_k_ré!C47</f>
        <v>320485480</v>
      </c>
      <c r="C11" s="119">
        <f>'bev-int'!C26-b_k_ré!D47</f>
        <v>495083165</v>
      </c>
      <c r="D11" s="117" t="str">
        <f>'kiad-int'!A10</f>
        <v>Készletbeszerzés</v>
      </c>
      <c r="E11" s="117">
        <f>'kiad-int'!B10</f>
        <v>196224092</v>
      </c>
      <c r="F11" s="117">
        <f>'kiad-int'!C10</f>
        <v>223884986</v>
      </c>
    </row>
    <row r="12" spans="1:6" s="24" customFormat="1" ht="12.75">
      <c r="A12" s="122" t="str">
        <f>'bev-int'!A27</f>
        <v>Működési bevételek</v>
      </c>
      <c r="B12" s="119">
        <f>'bev-int'!B27</f>
        <v>636897902</v>
      </c>
      <c r="C12" s="119">
        <f>'bev-int'!C27</f>
        <v>528123368</v>
      </c>
      <c r="D12" s="117" t="str">
        <f>'kiad-int'!A11</f>
        <v>Kommunikációs szolgáltatások</v>
      </c>
      <c r="E12" s="117">
        <f>'kiad-int'!B11</f>
        <v>17948734</v>
      </c>
      <c r="F12" s="117">
        <f>'kiad-int'!C11</f>
        <v>18857024</v>
      </c>
    </row>
    <row r="13" spans="1:6" s="24" customFormat="1" ht="12.75">
      <c r="A13" s="122" t="str">
        <f>'bev-int'!A29</f>
        <v>Működési célú átvett pénzeszközök</v>
      </c>
      <c r="B13" s="119">
        <f>'bev-int'!B29</f>
        <v>40229130</v>
      </c>
      <c r="C13" s="119">
        <f>'bev-int'!C29</f>
        <v>400000</v>
      </c>
      <c r="D13" s="117" t="str">
        <f>'kiad-int'!A12</f>
        <v>Szolgáltatási kiadások</v>
      </c>
      <c r="E13" s="117">
        <f>'kiad-int'!B12</f>
        <v>352291315</v>
      </c>
      <c r="F13" s="117">
        <f>'kiad-int'!C12</f>
        <v>375375091</v>
      </c>
    </row>
    <row r="14" spans="1:6" s="24" customFormat="1" ht="12.75">
      <c r="A14" s="123"/>
      <c r="B14" s="119"/>
      <c r="C14" s="119"/>
      <c r="D14" s="117" t="str">
        <f>'kiad-int'!A13</f>
        <v>Kiküldetés, reklám- és propagamda kiadások</v>
      </c>
      <c r="E14" s="117">
        <f>'kiad-int'!B13</f>
        <v>1935000</v>
      </c>
      <c r="F14" s="117">
        <f>'kiad-int'!C13</f>
        <v>1903307</v>
      </c>
    </row>
    <row r="15" spans="1:6" s="24" customFormat="1" ht="12.75">
      <c r="A15" s="122"/>
      <c r="B15" s="119"/>
      <c r="C15" s="119"/>
      <c r="D15" s="118" t="str">
        <f>'kiad-int'!A14</f>
        <v>Különféle befizetések és egyéb dologi kiadások</v>
      </c>
      <c r="E15" s="118">
        <f>'kiad-int'!B14</f>
        <v>723456116</v>
      </c>
      <c r="F15" s="118">
        <f>'kiad-int'!C14</f>
        <v>779643704</v>
      </c>
    </row>
    <row r="16" spans="1:6" s="24" customFormat="1" ht="12.75">
      <c r="A16" s="122"/>
      <c r="B16" s="119"/>
      <c r="C16" s="119"/>
      <c r="D16" s="119" t="str">
        <f>'kiad-int'!A16</f>
        <v>Ellátottak pénzbeli juttatásai</v>
      </c>
      <c r="E16" s="119">
        <f>'kiad-int'!B16</f>
        <v>6570000</v>
      </c>
      <c r="F16" s="119">
        <f>'kiad-int'!C16</f>
        <v>6840637</v>
      </c>
    </row>
    <row r="17" spans="1:6" s="24" customFormat="1" ht="12.75">
      <c r="A17" s="122"/>
      <c r="B17" s="119"/>
      <c r="C17" s="119"/>
      <c r="D17" s="119" t="s">
        <v>589</v>
      </c>
      <c r="E17" s="119">
        <f>'kiad-int'!B17-tart_!C39</f>
        <v>253807525</v>
      </c>
      <c r="F17" s="119">
        <f>'kiad-int'!C17-tart_!D39</f>
        <v>272980671</v>
      </c>
    </row>
    <row r="18" spans="1:6" s="24" customFormat="1" ht="12.75">
      <c r="A18" s="47"/>
      <c r="B18" s="1030"/>
      <c r="C18" s="1030"/>
      <c r="D18" s="119" t="s">
        <v>18</v>
      </c>
      <c r="E18" s="119">
        <f>tart_!C8</f>
        <v>36684403</v>
      </c>
      <c r="F18" s="119">
        <f>tart_!D8</f>
        <v>323699279</v>
      </c>
    </row>
    <row r="19" spans="1:6" s="24" customFormat="1" ht="13.5" thickBot="1">
      <c r="A19" s="48"/>
      <c r="B19" s="25"/>
      <c r="C19" s="25"/>
      <c r="D19" s="25"/>
      <c r="E19" s="25"/>
      <c r="F19" s="25"/>
    </row>
    <row r="20" spans="1:6" ht="13.5" thickBot="1">
      <c r="A20" s="49" t="str">
        <f>'bev-int'!A31</f>
        <v>Költségvetési bevételek:</v>
      </c>
      <c r="B20" s="29">
        <f>SUM(B9:B19)</f>
        <v>1977304868</v>
      </c>
      <c r="C20" s="29">
        <f>SUM(C9:C19)</f>
        <v>2288276773.6</v>
      </c>
      <c r="D20" s="29" t="str">
        <f>'kiad-int'!A22</f>
        <v>Költségvetési kiadások:</v>
      </c>
      <c r="E20" s="29">
        <f>SUM(E9:E19)</f>
        <v>2691401123</v>
      </c>
      <c r="F20" s="29">
        <f>SUM(F9:F19)</f>
        <v>3101795688</v>
      </c>
    </row>
    <row r="21" spans="1:6" ht="12.75">
      <c r="A21" s="50" t="str">
        <f>'bev-int'!A32</f>
        <v>Hitel, kölcsönfelvétel ÁH kívülről</v>
      </c>
      <c r="B21" s="26">
        <f>'bev-int'!B32</f>
        <v>0</v>
      </c>
      <c r="C21" s="26">
        <f>'bev-int'!C32</f>
        <v>0</v>
      </c>
      <c r="D21" s="26" t="str">
        <f>'kiad-int'!A23</f>
        <v>Hitel, kölcsöntörlesztés ÁH kívülre</v>
      </c>
      <c r="E21" s="26">
        <f>'kiad-int'!B23</f>
        <v>0</v>
      </c>
      <c r="F21" s="26">
        <f>'kiad-int'!C23</f>
        <v>0</v>
      </c>
    </row>
    <row r="22" spans="1:6" ht="12.75">
      <c r="A22" s="51" t="str">
        <f>'bev-int'!A33</f>
        <v>Belföldi értékpapírok bevételei</v>
      </c>
      <c r="B22" s="26">
        <f>'bev-int'!B33</f>
        <v>0</v>
      </c>
      <c r="C22" s="26">
        <f>'bev-int'!C33</f>
        <v>0</v>
      </c>
      <c r="D22" s="26" t="str">
        <f>'kiad-int'!A24</f>
        <v>Belföldi értékpapírok kiadásai</v>
      </c>
      <c r="E22" s="26">
        <f>'kiad-int'!B24</f>
        <v>0</v>
      </c>
      <c r="F22" s="26">
        <f>'kiad-int'!C24</f>
        <v>0</v>
      </c>
    </row>
    <row r="23" spans="1:6" ht="12.75">
      <c r="A23" s="51" t="str">
        <f>'bev-int'!A34</f>
        <v>Maradvány igénybevétele</v>
      </c>
      <c r="B23" s="26">
        <f>mérl_!B25-f_mérl_!B23</f>
        <v>429084093</v>
      </c>
      <c r="C23" s="1031">
        <f>mérl_!C25-f_mérl_!C23</f>
        <v>291219121</v>
      </c>
      <c r="D23" s="26" t="str">
        <f>'kiad-int'!A25</f>
        <v>ÁH belüli megelőlegezések</v>
      </c>
      <c r="E23" s="26">
        <f>'kiad-int'!B25</f>
        <v>0</v>
      </c>
      <c r="F23" s="26">
        <f>'kiad-int'!C25</f>
        <v>0</v>
      </c>
    </row>
    <row r="24" spans="1:6" ht="12.75">
      <c r="A24" s="51" t="str">
        <f>'bev-int'!A35</f>
        <v>ÁH belüli megelőlegezések</v>
      </c>
      <c r="B24" s="26">
        <f>'bev-int'!B35</f>
        <v>0</v>
      </c>
      <c r="C24" s="26">
        <f>'bev-int'!C35</f>
        <v>43500865</v>
      </c>
      <c r="D24" s="26" t="str">
        <f>'kiad-int'!A26</f>
        <v>ÁH belüli megelőlegezések visszafizetése</v>
      </c>
      <c r="E24" s="26">
        <f>'kiad-int'!B26</f>
        <v>37721730</v>
      </c>
      <c r="F24" s="26">
        <f>'kiad-int'!C26</f>
        <v>38204079</v>
      </c>
    </row>
    <row r="25" spans="1:6" ht="12.75">
      <c r="A25" s="51" t="str">
        <f>'bev-int'!A36</f>
        <v>ÁH belüli megelőlegezések visszafizetése</v>
      </c>
      <c r="B25" s="26">
        <f>'bev-int'!B36</f>
        <v>0</v>
      </c>
      <c r="C25" s="26">
        <f>'bev-int'!C36</f>
        <v>0</v>
      </c>
      <c r="D25" s="26" t="str">
        <f>'kiad-int'!A27</f>
        <v>Központi, irányító szervi támogatás folyósítása</v>
      </c>
      <c r="E25" s="26">
        <f>'kiad-int'!B27-beruh!K56</f>
        <v>1112096314</v>
      </c>
      <c r="F25" s="26">
        <f>'kiad-int'!C27-beruh!L56</f>
        <v>1185703058</v>
      </c>
    </row>
    <row r="26" spans="1:6" ht="12.75">
      <c r="A26" s="51" t="str">
        <f>'bev-int'!A37</f>
        <v>Központi, irányító szervi támogatás</v>
      </c>
      <c r="B26" s="26">
        <f>'kiad-int'!B27-beruh!K56</f>
        <v>1112096314</v>
      </c>
      <c r="C26" s="26">
        <f>'bev-int'!C37-beruh!L56</f>
        <v>1185703058</v>
      </c>
      <c r="D26" s="26" t="str">
        <f>'kiad-int'!A28</f>
        <v>Pe.betétként elhelyezése, kincstárjegy vás.</v>
      </c>
      <c r="E26" s="26">
        <f>'kiad-int'!B28</f>
        <v>0</v>
      </c>
      <c r="F26" s="26">
        <f>'kiad-int'!C28</f>
        <v>0</v>
      </c>
    </row>
    <row r="27" spans="1:6" ht="13.5" thickBot="1">
      <c r="A27" s="52" t="str">
        <f>'bev-int'!A38</f>
        <v>Betétek megszüntetése, kincstárjegy vissszavásárlás</v>
      </c>
      <c r="B27" s="1031">
        <f>mérl_!B29</f>
        <v>0</v>
      </c>
      <c r="C27" s="1031">
        <f>mérl_!C29</f>
        <v>0</v>
      </c>
      <c r="D27" s="26"/>
      <c r="E27" s="26"/>
      <c r="F27" s="26"/>
    </row>
    <row r="28" spans="1:6" s="24" customFormat="1" ht="13.5" thickBot="1">
      <c r="A28" s="49" t="str">
        <f>'bev-int'!A39</f>
        <v>Belföldi finanszírozás bevételei</v>
      </c>
      <c r="B28" s="29">
        <f>SUM(B21:B27)</f>
        <v>1541180407</v>
      </c>
      <c r="C28" s="29">
        <f>SUM(C21:C27)</f>
        <v>1520423044</v>
      </c>
      <c r="D28" s="29" t="str">
        <f>'kiad-int'!A29</f>
        <v>Belföldi finanszírozás kiadásai</v>
      </c>
      <c r="E28" s="29">
        <f>SUM(E21:E27)</f>
        <v>1149818044</v>
      </c>
      <c r="F28" s="29">
        <f>SUM(F21:F27)</f>
        <v>1223907137</v>
      </c>
    </row>
    <row r="29" spans="1:6" s="24" customFormat="1" ht="13.5" thickBot="1">
      <c r="A29" s="49" t="str">
        <f>'bev-int'!A40</f>
        <v>Külföldi finanszírozás bevételei</v>
      </c>
      <c r="B29" s="29">
        <f>'bev-int'!B40</f>
        <v>0</v>
      </c>
      <c r="C29" s="29">
        <f>'bev-int'!C40</f>
        <v>0</v>
      </c>
      <c r="D29" s="29" t="str">
        <f>'kiad-int'!A30</f>
        <v>Külföldi finanszírozás kiadásai</v>
      </c>
      <c r="E29" s="29">
        <f>'kiad-int'!B30</f>
        <v>0</v>
      </c>
      <c r="F29" s="29">
        <f>'kiad-int'!C30</f>
        <v>0</v>
      </c>
    </row>
    <row r="30" spans="1:6" s="24" customFormat="1" ht="13.5" thickBot="1">
      <c r="A30" s="49" t="str">
        <f>'bev-int'!A41</f>
        <v>Adóssághoz nem kapcs.származékos ügyl.bevét.</v>
      </c>
      <c r="B30" s="29">
        <f>'bev-int'!B41</f>
        <v>0</v>
      </c>
      <c r="C30" s="29">
        <f>'bev-int'!C41</f>
        <v>0</v>
      </c>
      <c r="D30" s="29" t="str">
        <f>'kiad-int'!A31</f>
        <v>Adóssághoz nem kapcs.származékos ügyl.kiad.</v>
      </c>
      <c r="E30" s="29">
        <f>'kiad-int'!B31</f>
        <v>0</v>
      </c>
      <c r="F30" s="29">
        <f>'kiad-int'!C31</f>
        <v>0</v>
      </c>
    </row>
    <row r="31" spans="1:6" s="24" customFormat="1" ht="13.5" thickBot="1">
      <c r="A31" s="49" t="str">
        <f>'bev-int'!A42</f>
        <v>Finanszírozási bevételek</v>
      </c>
      <c r="B31" s="29">
        <f>SUM(B28:B30)</f>
        <v>1541180407</v>
      </c>
      <c r="C31" s="29">
        <f>SUM(C28:C30)</f>
        <v>1520423044</v>
      </c>
      <c r="D31" s="29" t="str">
        <f>'kiad-int'!A32</f>
        <v>Finanszírozási kiadások</v>
      </c>
      <c r="E31" s="29">
        <f>SUM(E28:E30)</f>
        <v>1149818044</v>
      </c>
      <c r="F31" s="29">
        <f>SUM(F28:F30)</f>
        <v>1223907137</v>
      </c>
    </row>
    <row r="32" spans="1:6" s="45" customFormat="1" ht="13.5" thickBot="1">
      <c r="A32" s="53" t="s">
        <v>220</v>
      </c>
      <c r="B32" s="1032">
        <f>B20+B31</f>
        <v>3518485275</v>
      </c>
      <c r="C32" s="1032">
        <f>C20+C31</f>
        <v>3808699817.6</v>
      </c>
      <c r="D32" s="29" t="str">
        <f>'kiad-int'!A33</f>
        <v>Kiadások összesen:</v>
      </c>
      <c r="E32" s="1032">
        <f>E20+E31</f>
        <v>3841219167</v>
      </c>
      <c r="F32" s="1032">
        <f>F20+F31</f>
        <v>4325702825</v>
      </c>
    </row>
    <row r="33" spans="5:6" ht="12.75">
      <c r="E33" s="188"/>
      <c r="F33" s="188"/>
    </row>
    <row r="34" spans="1:6" s="24" customFormat="1" ht="12.75">
      <c r="A34" s="24" t="s">
        <v>483</v>
      </c>
      <c r="B34" s="24">
        <f>B32-E32</f>
        <v>-322733892</v>
      </c>
      <c r="C34" s="24">
        <f>C32-F32</f>
        <v>-517003007.4000001</v>
      </c>
      <c r="E34" s="189"/>
      <c r="F34" s="189"/>
    </row>
    <row r="37" spans="2:3" ht="12.75">
      <c r="B37" s="93"/>
      <c r="C37" s="442"/>
    </row>
  </sheetData>
  <sheetProtection/>
  <mergeCells count="1">
    <mergeCell ref="A6:F6"/>
  </mergeCells>
  <printOptions horizontalCentered="1"/>
  <pageMargins left="0.43307086614173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45.75390625" style="16" customWidth="1"/>
    <col min="2" max="2" width="13.375" style="16" bestFit="1" customWidth="1"/>
    <col min="3" max="3" width="12.875" style="16" bestFit="1" customWidth="1"/>
    <col min="4" max="4" width="45.75390625" style="16" customWidth="1"/>
    <col min="5" max="5" width="12.875" style="16" bestFit="1" customWidth="1"/>
    <col min="6" max="6" width="12.875" style="16" customWidth="1"/>
    <col min="7" max="16384" width="9.125" style="16" customWidth="1"/>
  </cols>
  <sheetData>
    <row r="1" spans="2:4" ht="12.75">
      <c r="B1" s="40"/>
      <c r="C1" s="40" t="s">
        <v>337</v>
      </c>
      <c r="D1" s="16" t="str">
        <f>'bev-int'!B1</f>
        <v>melléklet a …/2024. (III.  .) önkormányzati rendelethez</v>
      </c>
    </row>
    <row r="4" spans="1:6" ht="12.75">
      <c r="A4" s="1320" t="s">
        <v>838</v>
      </c>
      <c r="B4" s="1320"/>
      <c r="C4" s="1320"/>
      <c r="D4" s="1320"/>
      <c r="E4" s="1320"/>
      <c r="F4" s="1320"/>
    </row>
    <row r="7" spans="5:6" ht="13.5" thickBot="1">
      <c r="E7" s="40"/>
      <c r="F7" s="291" t="s">
        <v>705</v>
      </c>
    </row>
    <row r="8" spans="1:6" ht="26.25" thickBot="1">
      <c r="A8" s="46" t="s">
        <v>91</v>
      </c>
      <c r="B8" s="43" t="s">
        <v>727</v>
      </c>
      <c r="C8" s="43" t="s">
        <v>836</v>
      </c>
      <c r="D8" s="292" t="s">
        <v>94</v>
      </c>
      <c r="E8" s="43" t="s">
        <v>727</v>
      </c>
      <c r="F8" s="43" t="s">
        <v>836</v>
      </c>
    </row>
    <row r="9" spans="1:6" s="24" customFormat="1" ht="12.75">
      <c r="A9" s="122" t="str">
        <f>'bev-int'!A28</f>
        <v>Felhalmozási bevételek</v>
      </c>
      <c r="B9" s="121">
        <f>'bev-int'!B28</f>
        <v>0</v>
      </c>
      <c r="C9" s="121">
        <f>'bev-int'!C28</f>
        <v>593323</v>
      </c>
      <c r="D9" s="119" t="str">
        <f>'kiad-int'!A19</f>
        <v>Beruházások</v>
      </c>
      <c r="E9" s="116">
        <f>'kiad-int'!B19</f>
        <v>915580011</v>
      </c>
      <c r="F9" s="116">
        <f>'kiad-int'!C19</f>
        <v>1233006384</v>
      </c>
    </row>
    <row r="10" spans="1:6" s="24" customFormat="1" ht="12.75">
      <c r="A10" s="122" t="str">
        <f>'bev-int'!A30</f>
        <v>Felhalmozási célú átvett pénzeszközök</v>
      </c>
      <c r="B10" s="119">
        <f>'bev-int'!B30</f>
        <v>2327340</v>
      </c>
      <c r="C10" s="119">
        <f>'bev-int'!C30</f>
        <v>63329627</v>
      </c>
      <c r="D10" s="119" t="str">
        <f>'kiad-int'!A20</f>
        <v>Felújítások</v>
      </c>
      <c r="E10" s="117">
        <f>'kiad-int'!B20</f>
        <v>1547119619</v>
      </c>
      <c r="F10" s="117">
        <f>'kiad-int'!C20</f>
        <v>2114569725</v>
      </c>
    </row>
    <row r="11" spans="1:6" s="24" customFormat="1" ht="12.75">
      <c r="A11" s="122" t="str">
        <f>'bev-int'!A21</f>
        <v>Felhalmozási célú támogatások ÁH belülről</v>
      </c>
      <c r="B11" s="119">
        <f>'bev-int'!B21</f>
        <v>200905588</v>
      </c>
      <c r="C11" s="119">
        <f>'bev-int'!C21</f>
        <v>1073495706</v>
      </c>
      <c r="D11" s="119" t="str">
        <f>'kiad-int'!A21</f>
        <v>Egyéb felhalmozási célú kiadások</v>
      </c>
      <c r="E11" s="118">
        <f>'kiad-int'!B21</f>
        <v>33000000</v>
      </c>
      <c r="F11" s="118">
        <f>'kiad-int'!C21</f>
        <v>34380000</v>
      </c>
    </row>
    <row r="12" spans="1:6" s="24" customFormat="1" ht="12.75">
      <c r="A12" s="122" t="str">
        <f>'bev-int'!A26</f>
        <v>Közhatalmi bevételek</v>
      </c>
      <c r="B12" s="119">
        <f>b_k_ré!C47</f>
        <v>27000000</v>
      </c>
      <c r="C12" s="119">
        <f>b_k_ré!D47</f>
        <v>27299580</v>
      </c>
      <c r="D12" s="119" t="s">
        <v>588</v>
      </c>
      <c r="E12" s="119">
        <f>tart_!C24</f>
        <v>65100000</v>
      </c>
      <c r="F12" s="119">
        <f>tart_!D24</f>
        <v>65100000</v>
      </c>
    </row>
    <row r="13" spans="1:6" s="24" customFormat="1" ht="12.75">
      <c r="A13" s="123"/>
      <c r="B13" s="119"/>
      <c r="C13" s="119"/>
      <c r="D13" s="119"/>
      <c r="E13" s="119"/>
      <c r="F13" s="119"/>
    </row>
    <row r="14" spans="1:6" s="24" customFormat="1" ht="12.75">
      <c r="A14" s="122"/>
      <c r="B14" s="119"/>
      <c r="C14" s="119"/>
      <c r="D14" s="119"/>
      <c r="E14" s="119"/>
      <c r="F14" s="119"/>
    </row>
    <row r="15" spans="1:6" s="24" customFormat="1" ht="12.75">
      <c r="A15" s="123"/>
      <c r="B15" s="119"/>
      <c r="C15" s="119"/>
      <c r="D15" s="119"/>
      <c r="E15" s="119"/>
      <c r="F15" s="119"/>
    </row>
    <row r="16" spans="1:6" s="24" customFormat="1" ht="12.75">
      <c r="A16" s="122"/>
      <c r="B16" s="119"/>
      <c r="C16" s="119"/>
      <c r="D16" s="119"/>
      <c r="E16" s="119"/>
      <c r="F16" s="119"/>
    </row>
    <row r="17" spans="1:6" s="24" customFormat="1" ht="12.75">
      <c r="A17" s="122"/>
      <c r="B17" s="119"/>
      <c r="C17" s="119"/>
      <c r="D17" s="119"/>
      <c r="E17" s="119"/>
      <c r="F17" s="119"/>
    </row>
    <row r="18" spans="1:6" s="24" customFormat="1" ht="12.75">
      <c r="A18" s="122"/>
      <c r="B18" s="119"/>
      <c r="C18" s="119"/>
      <c r="D18" s="119"/>
      <c r="E18" s="119"/>
      <c r="F18" s="119"/>
    </row>
    <row r="19" spans="1:6" s="24" customFormat="1" ht="13.5" thickBot="1">
      <c r="A19" s="125"/>
      <c r="B19" s="124"/>
      <c r="C19" s="124"/>
      <c r="D19" s="124"/>
      <c r="E19" s="124"/>
      <c r="F19" s="124"/>
    </row>
    <row r="20" spans="1:6" ht="13.5" thickBot="1">
      <c r="A20" s="49" t="str">
        <f>'bev-int'!A31</f>
        <v>Költségvetési bevételek:</v>
      </c>
      <c r="B20" s="29">
        <f>SUM(B9:B19)</f>
        <v>230232928</v>
      </c>
      <c r="C20" s="29">
        <f>SUM(C9:C19)</f>
        <v>1164718236</v>
      </c>
      <c r="D20" s="29" t="str">
        <f>'kiad-int'!A22</f>
        <v>Költségvetési kiadások:</v>
      </c>
      <c r="E20" s="29">
        <f>SUM(E9:E19)</f>
        <v>2560799630</v>
      </c>
      <c r="F20" s="29">
        <f>SUM(F9:F19)</f>
        <v>3447056109</v>
      </c>
    </row>
    <row r="21" spans="1:6" ht="12.75">
      <c r="A21" s="50" t="str">
        <f>'bev-int'!A32</f>
        <v>Hitel, kölcsönfelvétel ÁH kívülről</v>
      </c>
      <c r="B21" s="26"/>
      <c r="C21" s="26"/>
      <c r="D21" s="26" t="str">
        <f>'kiad-int'!A23</f>
        <v>Hitel, kölcsöntörlesztés ÁH kívülre</v>
      </c>
      <c r="E21" s="26"/>
      <c r="F21" s="26"/>
    </row>
    <row r="22" spans="1:6" ht="12.75">
      <c r="A22" s="51" t="str">
        <f>'bev-int'!A33</f>
        <v>Belföldi értékpapírok bevételei</v>
      </c>
      <c r="B22" s="26"/>
      <c r="C22" s="26"/>
      <c r="D22" s="26" t="str">
        <f>'kiad-int'!A24</f>
        <v>Belföldi értékpapírok kiadásai</v>
      </c>
      <c r="E22" s="27"/>
      <c r="F22" s="27"/>
    </row>
    <row r="23" spans="1:6" ht="12.75">
      <c r="A23" s="51" t="str">
        <f>'bev-int'!A34</f>
        <v>Maradvány igénybevétele</v>
      </c>
      <c r="B23" s="1031">
        <v>2653300594</v>
      </c>
      <c r="C23" s="1031">
        <v>2799340880</v>
      </c>
      <c r="D23" s="26" t="str">
        <f>'kiad-int'!A25</f>
        <v>ÁH belüli megelőlegezések</v>
      </c>
      <c r="E23" s="27"/>
      <c r="F23" s="27"/>
    </row>
    <row r="24" spans="1:6" ht="12.75">
      <c r="A24" s="51" t="str">
        <f>'bev-int'!A35</f>
        <v>ÁH belüli megelőlegezések</v>
      </c>
      <c r="B24" s="26"/>
      <c r="C24" s="26"/>
      <c r="D24" s="26" t="str">
        <f>'kiad-int'!A26</f>
        <v>ÁH belüli megelőlegezések visszafizetése</v>
      </c>
      <c r="E24" s="27"/>
      <c r="F24" s="27"/>
    </row>
    <row r="25" spans="1:6" ht="12.75">
      <c r="A25" s="51" t="str">
        <f>'bev-int'!A36</f>
        <v>ÁH belüli megelőlegezések visszafizetése</v>
      </c>
      <c r="B25" s="26"/>
      <c r="C25" s="26"/>
      <c r="D25" s="26" t="str">
        <f>'kiad-int'!A27</f>
        <v>Központi, irányító szervi támogatás folyósítása</v>
      </c>
      <c r="E25" s="27">
        <f>beruh!K56</f>
        <v>16111500</v>
      </c>
      <c r="F25" s="27">
        <f>beruh!L56</f>
        <v>20342714</v>
      </c>
    </row>
    <row r="26" spans="1:6" ht="12.75">
      <c r="A26" s="51" t="str">
        <f>'bev-int'!A37</f>
        <v>Központi, irányító szervi támogatás</v>
      </c>
      <c r="B26" s="26">
        <f>beruh!K56</f>
        <v>16111500</v>
      </c>
      <c r="C26" s="26">
        <f>beruh!L56</f>
        <v>20342714</v>
      </c>
      <c r="D26" s="26" t="str">
        <f>'kiad-int'!A28</f>
        <v>Pe.betétként elhelyezése, kincstárjegy vás.</v>
      </c>
      <c r="E26" s="27"/>
      <c r="F26" s="27"/>
    </row>
    <row r="27" spans="1:6" ht="13.5" thickBot="1">
      <c r="A27" s="52" t="str">
        <f>'bev-int'!A38</f>
        <v>Betétek megszüntetése, kincstárjegy vissszavásárlás</v>
      </c>
      <c r="B27" s="1031">
        <v>0</v>
      </c>
      <c r="C27" s="1031">
        <v>0</v>
      </c>
      <c r="D27" s="26" t="str">
        <f>'kiad-int'!A29</f>
        <v>Belföldi finanszírozás kiadásai</v>
      </c>
      <c r="E27" s="28"/>
      <c r="F27" s="28"/>
    </row>
    <row r="28" spans="1:6" s="24" customFormat="1" ht="13.5" thickBot="1">
      <c r="A28" s="49" t="str">
        <f>'bev-int'!A39</f>
        <v>Belföldi finanszírozás bevételei</v>
      </c>
      <c r="B28" s="29">
        <f>SUM(B21:B27)</f>
        <v>2669412094</v>
      </c>
      <c r="C28" s="29">
        <f>SUM(C21:C27)</f>
        <v>2819683594</v>
      </c>
      <c r="D28" s="29" t="str">
        <f>'kiad-int'!A29</f>
        <v>Belföldi finanszírozás kiadásai</v>
      </c>
      <c r="E28" s="29">
        <f>SUM(E21:E27)</f>
        <v>16111500</v>
      </c>
      <c r="F28" s="29">
        <f>SUM(F21:F27)</f>
        <v>20342714</v>
      </c>
    </row>
    <row r="29" spans="1:6" s="24" customFormat="1" ht="13.5" thickBot="1">
      <c r="A29" s="49" t="str">
        <f>'bev-int'!A40</f>
        <v>Külföldi finanszírozás bevételei</v>
      </c>
      <c r="B29" s="29">
        <f>'bev-int'!B40</f>
        <v>0</v>
      </c>
      <c r="C29" s="29">
        <f>'bev-int'!C40</f>
        <v>0</v>
      </c>
      <c r="D29" s="29" t="str">
        <f>'kiad-int'!A30</f>
        <v>Külföldi finanszírozás kiadásai</v>
      </c>
      <c r="E29" s="29">
        <v>0</v>
      </c>
      <c r="F29" s="29">
        <v>0</v>
      </c>
    </row>
    <row r="30" spans="1:6" s="24" customFormat="1" ht="13.5" thickBot="1">
      <c r="A30" s="49" t="str">
        <f>'bev-int'!A41</f>
        <v>Adóssághoz nem kapcs.származékos ügyl.bevét.</v>
      </c>
      <c r="B30" s="29">
        <f>'bev-int'!B41</f>
        <v>0</v>
      </c>
      <c r="C30" s="29">
        <f>'bev-int'!C41</f>
        <v>0</v>
      </c>
      <c r="D30" s="29" t="str">
        <f>'kiad-int'!A31</f>
        <v>Adóssághoz nem kapcs.származékos ügyl.kiad.</v>
      </c>
      <c r="E30" s="29">
        <v>0</v>
      </c>
      <c r="F30" s="29">
        <v>0</v>
      </c>
    </row>
    <row r="31" spans="1:6" s="24" customFormat="1" ht="13.5" thickBot="1">
      <c r="A31" s="49" t="str">
        <f>'bev-int'!A42</f>
        <v>Finanszírozási bevételek</v>
      </c>
      <c r="B31" s="29">
        <f>SUM(B28:B30)</f>
        <v>2669412094</v>
      </c>
      <c r="C31" s="29">
        <f>SUM(C28:C30)</f>
        <v>2819683594</v>
      </c>
      <c r="D31" s="29" t="str">
        <f>'kiad-int'!A32</f>
        <v>Finanszírozási kiadások</v>
      </c>
      <c r="E31" s="29">
        <f>SUM(E28:E30)</f>
        <v>16111500</v>
      </c>
      <c r="F31" s="29">
        <f>SUM(F28:F30)</f>
        <v>20342714</v>
      </c>
    </row>
    <row r="32" spans="1:6" s="45" customFormat="1" ht="13.5" thickBot="1">
      <c r="A32" s="53" t="s">
        <v>220</v>
      </c>
      <c r="B32" s="1032">
        <f>B20+B31</f>
        <v>2899645022</v>
      </c>
      <c r="C32" s="1032">
        <f>C20+C31</f>
        <v>3984401830</v>
      </c>
      <c r="D32" s="29" t="str">
        <f>'kiad-int'!A33</f>
        <v>Kiadások összesen:</v>
      </c>
      <c r="E32" s="1032">
        <f>E20+E31</f>
        <v>2576911130</v>
      </c>
      <c r="F32" s="1032">
        <f>F20+F31</f>
        <v>3467398823</v>
      </c>
    </row>
    <row r="34" spans="1:3" s="24" customFormat="1" ht="12.75">
      <c r="A34" s="24" t="s">
        <v>484</v>
      </c>
      <c r="B34" s="24">
        <f>B32-E32</f>
        <v>322733892</v>
      </c>
      <c r="C34" s="24">
        <f>C32-F32</f>
        <v>517003007</v>
      </c>
    </row>
  </sheetData>
  <sheetProtection/>
  <mergeCells count="1">
    <mergeCell ref="A4:F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2.75390625" style="16" customWidth="1"/>
    <col min="2" max="3" width="14.625" style="16" customWidth="1"/>
    <col min="4" max="4" width="15.375" style="16" customWidth="1"/>
    <col min="5" max="16384" width="9.125" style="16" customWidth="1"/>
  </cols>
  <sheetData>
    <row r="2" spans="1:2" ht="12.75">
      <c r="A2" s="40" t="s">
        <v>130</v>
      </c>
      <c r="B2" s="16" t="str">
        <f>'bev-int'!B1</f>
        <v>melléklet a …/2024. (III.  .) önkormányzati rendelethez</v>
      </c>
    </row>
    <row r="6" spans="1:5" ht="30" customHeight="1">
      <c r="A6" s="1323" t="s">
        <v>728</v>
      </c>
      <c r="B6" s="1323"/>
      <c r="C6" s="1323"/>
      <c r="D6" s="1323"/>
      <c r="E6" s="73"/>
    </row>
    <row r="13" ht="13.5" thickBot="1">
      <c r="D13" s="113" t="s">
        <v>322</v>
      </c>
    </row>
    <row r="14" spans="1:4" ht="13.5" thickBot="1">
      <c r="A14" s="66" t="s">
        <v>55</v>
      </c>
      <c r="B14" s="1321" t="s">
        <v>111</v>
      </c>
      <c r="C14" s="1321"/>
      <c r="D14" s="1322"/>
    </row>
    <row r="15" spans="1:4" ht="26.25" thickBot="1">
      <c r="A15" s="67"/>
      <c r="B15" s="39" t="s">
        <v>112</v>
      </c>
      <c r="C15" s="39" t="s">
        <v>113</v>
      </c>
      <c r="D15" s="68" t="s">
        <v>114</v>
      </c>
    </row>
    <row r="16" spans="1:4" ht="12.75">
      <c r="A16" s="69" t="s">
        <v>92</v>
      </c>
      <c r="B16" s="599"/>
      <c r="C16" s="599"/>
      <c r="D16" s="600"/>
    </row>
    <row r="17" spans="1:4" ht="12.75">
      <c r="A17" s="70" t="s">
        <v>115</v>
      </c>
      <c r="B17" s="601">
        <v>10</v>
      </c>
      <c r="C17" s="601"/>
      <c r="D17" s="602">
        <v>100000</v>
      </c>
    </row>
    <row r="18" spans="1:4" ht="12.75">
      <c r="A18" s="71" t="s">
        <v>313</v>
      </c>
      <c r="B18" s="601">
        <v>5</v>
      </c>
      <c r="C18" s="601"/>
      <c r="D18" s="603">
        <v>200000</v>
      </c>
    </row>
    <row r="19" spans="1:4" ht="12.75">
      <c r="A19" s="459" t="s">
        <v>310</v>
      </c>
      <c r="B19" s="601">
        <v>6</v>
      </c>
      <c r="C19" s="601"/>
      <c r="D19" s="604">
        <v>500000</v>
      </c>
    </row>
    <row r="20" spans="1:4" ht="12.75">
      <c r="A20" s="70"/>
      <c r="B20" s="605"/>
      <c r="C20" s="605"/>
      <c r="D20" s="604"/>
    </row>
    <row r="21" spans="1:4" ht="13.5" thickBot="1">
      <c r="A21" s="154"/>
      <c r="B21" s="223"/>
      <c r="C21" s="223"/>
      <c r="D21" s="224"/>
    </row>
    <row r="22" spans="1:4" ht="13.5" thickBot="1">
      <c r="A22" s="155" t="s">
        <v>87</v>
      </c>
      <c r="B22" s="225"/>
      <c r="C22" s="226"/>
      <c r="D22" s="227">
        <f>SUM(D16:D20)</f>
        <v>800000</v>
      </c>
    </row>
    <row r="23" spans="2:4" ht="12.75">
      <c r="B23" s="228"/>
      <c r="C23" s="229"/>
      <c r="D23" s="228"/>
    </row>
  </sheetData>
  <sheetProtection/>
  <mergeCells count="2">
    <mergeCell ref="B14:D1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1">
      <selection activeCell="C40" sqref="C40"/>
    </sheetView>
  </sheetViews>
  <sheetFormatPr defaultColWidth="9.00390625" defaultRowHeight="12.75"/>
  <cols>
    <col min="1" max="1" width="4.875" style="16" customWidth="1"/>
    <col min="2" max="2" width="41.875" style="16" customWidth="1"/>
    <col min="3" max="3" width="13.25390625" style="16" customWidth="1"/>
    <col min="4" max="6" width="12.875" style="16" bestFit="1" customWidth="1"/>
    <col min="7" max="16384" width="9.125" style="16" customWidth="1"/>
  </cols>
  <sheetData>
    <row r="1" spans="1:4" ht="12.75">
      <c r="A1" s="40" t="s">
        <v>338</v>
      </c>
      <c r="B1" s="41" t="str">
        <f>'bev-int'!B1</f>
        <v>melléklet a …/2024. (III.  .) önkormányzati rendelethez</v>
      </c>
      <c r="C1" s="42"/>
      <c r="D1" s="42"/>
    </row>
    <row r="4" spans="2:6" ht="12.75">
      <c r="B4" s="1320" t="s">
        <v>730</v>
      </c>
      <c r="C4" s="1320"/>
      <c r="D4" s="1320"/>
      <c r="E4" s="1320"/>
      <c r="F4" s="1320"/>
    </row>
    <row r="5" spans="2:6" ht="12.75">
      <c r="B5" s="1320" t="s">
        <v>276</v>
      </c>
      <c r="C5" s="1320"/>
      <c r="D5" s="1320"/>
      <c r="E5" s="1320"/>
      <c r="F5" s="1320"/>
    </row>
    <row r="6" spans="2:4" ht="12.75">
      <c r="B6" s="30"/>
      <c r="C6" s="30"/>
      <c r="D6" s="30"/>
    </row>
    <row r="7" spans="2:4" ht="12.75">
      <c r="B7" s="30"/>
      <c r="C7" s="30"/>
      <c r="D7" s="30"/>
    </row>
    <row r="8" ht="13.5" thickBot="1">
      <c r="F8" s="113" t="s">
        <v>72</v>
      </c>
    </row>
    <row r="9" spans="2:6" ht="15.75" thickBot="1">
      <c r="B9" s="132" t="s">
        <v>55</v>
      </c>
      <c r="C9" s="293" t="s">
        <v>545</v>
      </c>
      <c r="D9" s="293" t="s">
        <v>601</v>
      </c>
      <c r="E9" s="293" t="s">
        <v>688</v>
      </c>
      <c r="F9" s="293" t="s">
        <v>729</v>
      </c>
    </row>
    <row r="10" spans="2:6" ht="12.75">
      <c r="B10" s="133" t="str">
        <f>m_mérl_!A9</f>
        <v>Működési célú támogatások ÁH belülről</v>
      </c>
      <c r="C10" s="1033">
        <f>m_mérl_!C9/1000</f>
        <v>1264670.2406</v>
      </c>
      <c r="D10" s="784">
        <v>910000</v>
      </c>
      <c r="E10" s="603">
        <v>961985</v>
      </c>
      <c r="F10" s="603">
        <v>954854</v>
      </c>
    </row>
    <row r="11" spans="2:6" ht="12.75">
      <c r="B11" s="134" t="str">
        <f>m_mérl_!A11</f>
        <v>Közhatalmi bevételek</v>
      </c>
      <c r="C11" s="1034">
        <f>m_mérl_!C11/1000</f>
        <v>495083.165</v>
      </c>
      <c r="D11" s="791">
        <v>405000</v>
      </c>
      <c r="E11" s="604">
        <v>405500</v>
      </c>
      <c r="F11" s="604">
        <v>406000</v>
      </c>
    </row>
    <row r="12" spans="2:6" ht="12.75">
      <c r="B12" s="134" t="str">
        <f>m_mérl_!A12</f>
        <v>Működési bevételek</v>
      </c>
      <c r="C12" s="1034">
        <f>m_mérl_!C12/1000</f>
        <v>528123.368</v>
      </c>
      <c r="D12" s="791">
        <v>636898</v>
      </c>
      <c r="E12" s="604">
        <v>459385</v>
      </c>
      <c r="F12" s="604">
        <v>459380</v>
      </c>
    </row>
    <row r="13" spans="2:6" ht="12.75">
      <c r="B13" s="134" t="str">
        <f>m_mérl_!A13</f>
        <v>Működési célú átvett pénzeszközök</v>
      </c>
      <c r="C13" s="1034">
        <f>m_mérl_!C13/1000</f>
        <v>400</v>
      </c>
      <c r="D13" s="791">
        <v>67000</v>
      </c>
      <c r="E13" s="604">
        <v>73000</v>
      </c>
      <c r="F13" s="604">
        <v>78000</v>
      </c>
    </row>
    <row r="14" spans="2:6" ht="12.75">
      <c r="B14" s="134" t="str">
        <f>m_mérl_!A23</f>
        <v>Maradvány igénybevétele</v>
      </c>
      <c r="C14" s="1034">
        <f>m_mérl_!C23/1000</f>
        <v>291219.121</v>
      </c>
      <c r="D14" s="791">
        <v>150000</v>
      </c>
      <c r="E14" s="604">
        <v>140000</v>
      </c>
      <c r="F14" s="604">
        <v>140000</v>
      </c>
    </row>
    <row r="15" spans="2:6" ht="12.75">
      <c r="B15" s="134" t="str">
        <f>m_mérl_!A26</f>
        <v>Központi, irányító szervi támogatás</v>
      </c>
      <c r="C15" s="1034">
        <f>m_mérl_!C26/1000</f>
        <v>1185703.058</v>
      </c>
      <c r="D15" s="791">
        <v>1112000</v>
      </c>
      <c r="E15" s="604">
        <v>1112000</v>
      </c>
      <c r="F15" s="604">
        <v>1112000</v>
      </c>
    </row>
    <row r="16" spans="2:6" ht="12.75">
      <c r="B16" s="134" t="s">
        <v>909</v>
      </c>
      <c r="C16" s="1034">
        <f>'bev-int'!C35/1000</f>
        <v>43500.865</v>
      </c>
      <c r="D16" s="1034">
        <f>'bev-int'!D35/1000</f>
        <v>0</v>
      </c>
      <c r="E16" s="1034">
        <f>'bev-int'!E35/1000</f>
        <v>0</v>
      </c>
      <c r="F16" s="1034">
        <f>'bev-int'!F35/1000</f>
        <v>0</v>
      </c>
    </row>
    <row r="17" spans="2:6" ht="13.5" thickBot="1">
      <c r="B17" s="135"/>
      <c r="C17" s="1035"/>
      <c r="D17" s="792"/>
      <c r="E17" s="793"/>
      <c r="F17" s="793"/>
    </row>
    <row r="18" spans="2:6" ht="13.5" thickBot="1">
      <c r="B18" s="136" t="s">
        <v>105</v>
      </c>
      <c r="C18" s="1036">
        <f>SUM(C10:C17)</f>
        <v>3808699.8175999997</v>
      </c>
      <c r="D18" s="1037">
        <f>SUM(D10:D17)</f>
        <v>3280898</v>
      </c>
      <c r="E18" s="1038">
        <f>SUM(E10:E17)</f>
        <v>3151870</v>
      </c>
      <c r="F18" s="1038">
        <f>SUM(F10:F17)</f>
        <v>3150234</v>
      </c>
    </row>
    <row r="19" spans="2:6" ht="12.75">
      <c r="B19" s="131" t="str">
        <f>m_mérl_!D9</f>
        <v>Személyi juttatások</v>
      </c>
      <c r="C19" s="1056">
        <f>m_mérl_!F9/1000</f>
        <v>960707.2</v>
      </c>
      <c r="D19" s="1039">
        <v>962800</v>
      </c>
      <c r="E19" s="790">
        <v>940800</v>
      </c>
      <c r="F19" s="790">
        <v>940800</v>
      </c>
    </row>
    <row r="20" spans="2:6" ht="12.75">
      <c r="B20" s="114" t="str">
        <f>m_mérl_!D10</f>
        <v>Munkaadókat terhelő járulékok</v>
      </c>
      <c r="C20" s="1057">
        <f>m_mérl_!F10/1000</f>
        <v>137903.789</v>
      </c>
      <c r="D20" s="1034">
        <v>133500</v>
      </c>
      <c r="E20" s="604">
        <v>131000</v>
      </c>
      <c r="F20" s="604">
        <v>131000</v>
      </c>
    </row>
    <row r="21" spans="2:6" ht="12.75">
      <c r="B21" s="114" t="str">
        <f>m_mérl_!D11</f>
        <v>Készletbeszerzés</v>
      </c>
      <c r="C21" s="1057">
        <f>m_mérl_!F11/1000</f>
        <v>223884.986</v>
      </c>
      <c r="D21" s="1034">
        <v>196000</v>
      </c>
      <c r="E21" s="604">
        <v>194000</v>
      </c>
      <c r="F21" s="604">
        <v>194000</v>
      </c>
    </row>
    <row r="22" spans="2:6" ht="12.75">
      <c r="B22" s="114" t="str">
        <f>m_mérl_!D12</f>
        <v>Kommunikációs szolgáltatások</v>
      </c>
      <c r="C22" s="1057">
        <f>m_mérl_!F12/1000</f>
        <v>18857.024</v>
      </c>
      <c r="D22" s="1034">
        <v>19500</v>
      </c>
      <c r="E22" s="604">
        <v>20000</v>
      </c>
      <c r="F22" s="604">
        <v>20500</v>
      </c>
    </row>
    <row r="23" spans="2:6" ht="12.75">
      <c r="B23" s="114" t="str">
        <f>m_mérl_!D13</f>
        <v>Szolgáltatási kiadások</v>
      </c>
      <c r="C23" s="1057">
        <f>m_mérl_!F13/1000</f>
        <v>375375.091</v>
      </c>
      <c r="D23" s="1034">
        <v>353000</v>
      </c>
      <c r="E23" s="604">
        <v>320000</v>
      </c>
      <c r="F23" s="604">
        <v>310000</v>
      </c>
    </row>
    <row r="24" spans="2:6" ht="12.75">
      <c r="B24" s="114" t="str">
        <f>m_mérl_!D14</f>
        <v>Kiküldetés, reklám- és propagamda kiadások</v>
      </c>
      <c r="C24" s="1057">
        <f>m_mérl_!F14/1000</f>
        <v>1903.307</v>
      </c>
      <c r="D24" s="1034">
        <v>2000</v>
      </c>
      <c r="E24" s="604">
        <v>2000</v>
      </c>
      <c r="F24" s="604">
        <v>2000</v>
      </c>
    </row>
    <row r="25" spans="2:6" ht="12.75">
      <c r="B25" s="114" t="str">
        <f>m_mérl_!D15</f>
        <v>Különféle befizetések és egyéb dologi kiadások</v>
      </c>
      <c r="C25" s="1057">
        <f>m_mérl_!F15/1000</f>
        <v>779643.704</v>
      </c>
      <c r="D25" s="1034">
        <v>200000</v>
      </c>
      <c r="E25" s="604">
        <v>190000</v>
      </c>
      <c r="F25" s="604">
        <v>185000</v>
      </c>
    </row>
    <row r="26" spans="2:6" ht="12.75">
      <c r="B26" s="114" t="str">
        <f>m_mérl_!D16</f>
        <v>Ellátottak pénzbeli juttatásai</v>
      </c>
      <c r="C26" s="1057">
        <f>m_mérl_!F16/1000</f>
        <v>6840.637</v>
      </c>
      <c r="D26" s="1034">
        <v>6570</v>
      </c>
      <c r="E26" s="604">
        <v>6570</v>
      </c>
      <c r="F26" s="604">
        <v>6570</v>
      </c>
    </row>
    <row r="27" spans="2:6" ht="12.75">
      <c r="B27" s="32" t="str">
        <f>m_mérl_!D17</f>
        <v>Egyéb működési célú kiadások (tartalék nélkül)</v>
      </c>
      <c r="C27" s="784">
        <f>m_mérl_!F17/1000</f>
        <v>272980.671</v>
      </c>
      <c r="D27" s="791">
        <v>216140</v>
      </c>
      <c r="E27" s="604">
        <v>190000</v>
      </c>
      <c r="F27" s="604">
        <v>180000</v>
      </c>
    </row>
    <row r="28" spans="2:6" ht="12.75">
      <c r="B28" s="32" t="str">
        <f>m_mérl_!D21</f>
        <v>Hitel, kölcsöntörlesztés ÁH kívülre</v>
      </c>
      <c r="C28" s="791">
        <f>m_mérl_!F21/1000</f>
        <v>0</v>
      </c>
      <c r="D28" s="791"/>
      <c r="E28" s="604"/>
      <c r="F28" s="604"/>
    </row>
    <row r="29" spans="2:6" ht="12.75">
      <c r="B29" s="615" t="s">
        <v>694</v>
      </c>
      <c r="C29" s="791">
        <f>m_mérl_!F18/1000</f>
        <v>323699.279</v>
      </c>
      <c r="D29" s="791">
        <v>10000</v>
      </c>
      <c r="E29" s="604">
        <v>10000</v>
      </c>
      <c r="F29" s="604">
        <v>10000</v>
      </c>
    </row>
    <row r="30" spans="2:6" ht="12.75">
      <c r="B30" s="32" t="str">
        <f>m_mérl_!D25</f>
        <v>Központi, irányító szervi támogatás folyósítása</v>
      </c>
      <c r="C30" s="791">
        <f>m_mérl_!F25/1000</f>
        <v>1185703.058</v>
      </c>
      <c r="D30" s="791">
        <v>1112000</v>
      </c>
      <c r="E30" s="604">
        <v>1112000</v>
      </c>
      <c r="F30" s="604">
        <v>1112000</v>
      </c>
    </row>
    <row r="31" spans="2:6" ht="12.75">
      <c r="B31" s="615" t="s">
        <v>231</v>
      </c>
      <c r="C31" s="791">
        <f>m_mérl_!F24/1000</f>
        <v>38204.079</v>
      </c>
      <c r="D31" s="791">
        <v>37000</v>
      </c>
      <c r="E31" s="1040">
        <v>37000</v>
      </c>
      <c r="F31" s="1040">
        <v>37000</v>
      </c>
    </row>
    <row r="32" spans="2:6" ht="13.5" thickBot="1">
      <c r="B32" s="33" t="s">
        <v>154</v>
      </c>
      <c r="C32" s="792">
        <f>m_mérl_!F26/1000</f>
        <v>0</v>
      </c>
      <c r="D32" s="1041"/>
      <c r="E32" s="1042"/>
      <c r="F32" s="1042"/>
    </row>
    <row r="33" spans="2:6" ht="13.5" thickBot="1">
      <c r="B33" s="34" t="s">
        <v>108</v>
      </c>
      <c r="C33" s="800">
        <f>SUM(C19:C32)</f>
        <v>4325702.825</v>
      </c>
      <c r="D33" s="1043">
        <f>SUM(D19:D32)</f>
        <v>3248510</v>
      </c>
      <c r="E33" s="1038">
        <f>SUM(E19:E32)</f>
        <v>3153370</v>
      </c>
      <c r="F33" s="1038">
        <f>SUM(F19:F32)</f>
        <v>3128870</v>
      </c>
    </row>
    <row r="34" spans="2:6" ht="12.75">
      <c r="B34" s="31" t="str">
        <f>f_mérl_!A9</f>
        <v>Felhalmozási bevételek</v>
      </c>
      <c r="C34" s="1044">
        <f>f_mérl_!C9/1000</f>
        <v>593.323</v>
      </c>
      <c r="D34" s="1045">
        <v>2500</v>
      </c>
      <c r="E34" s="1046">
        <v>4500</v>
      </c>
      <c r="F34" s="1046">
        <v>6000</v>
      </c>
    </row>
    <row r="35" spans="2:6" ht="12.75">
      <c r="B35" s="32" t="str">
        <f>f_mérl_!A10</f>
        <v>Felhalmozási célú átvett pénzeszközök</v>
      </c>
      <c r="C35" s="791">
        <f>f_mérl_!C10/1000</f>
        <v>63329.627</v>
      </c>
      <c r="D35" s="1047">
        <v>1000</v>
      </c>
      <c r="E35" s="1048">
        <v>1000</v>
      </c>
      <c r="F35" s="1048">
        <v>1100</v>
      </c>
    </row>
    <row r="36" spans="2:6" ht="12.75">
      <c r="B36" s="32" t="str">
        <f>f_mérl_!A11</f>
        <v>Felhalmozási célú támogatások ÁH belülről</v>
      </c>
      <c r="C36" s="791">
        <f>f_mérl_!C11/1000</f>
        <v>1073495.706</v>
      </c>
      <c r="D36" s="1049">
        <v>50000</v>
      </c>
      <c r="E36" s="1048">
        <v>100000</v>
      </c>
      <c r="F36" s="1048">
        <v>100000</v>
      </c>
    </row>
    <row r="37" spans="2:6" ht="12.75">
      <c r="B37" s="32" t="str">
        <f>f_mérl_!A12</f>
        <v>Közhatalmi bevételek</v>
      </c>
      <c r="C37" s="791">
        <f>f_mérl_!C12/1000</f>
        <v>27299.58</v>
      </c>
      <c r="D37" s="1049">
        <v>29000</v>
      </c>
      <c r="E37" s="1048">
        <v>29000</v>
      </c>
      <c r="F37" s="1048">
        <v>29500</v>
      </c>
    </row>
    <row r="38" spans="2:6" ht="12.75">
      <c r="B38" s="32" t="str">
        <f>f_mérl_!A23</f>
        <v>Maradvány igénybevétele</v>
      </c>
      <c r="C38" s="791">
        <f>f_mérl_!C23/1000</f>
        <v>2799340.88</v>
      </c>
      <c r="D38" s="1049">
        <v>287712</v>
      </c>
      <c r="E38" s="1048">
        <v>84000</v>
      </c>
      <c r="F38" s="1048">
        <v>84000</v>
      </c>
    </row>
    <row r="39" spans="2:6" ht="12.75">
      <c r="B39" s="32" t="str">
        <f>B47</f>
        <v>Központi, irányító szervi támogatás folyósítása</v>
      </c>
      <c r="C39" s="791">
        <f>f_mérl_!F25/1000</f>
        <v>20342.714</v>
      </c>
      <c r="D39" s="1047">
        <v>6000</v>
      </c>
      <c r="E39" s="1048">
        <v>6500</v>
      </c>
      <c r="F39" s="1048">
        <v>7000</v>
      </c>
    </row>
    <row r="40" spans="2:6" ht="12.75">
      <c r="B40" s="32"/>
      <c r="C40" s="791"/>
      <c r="D40" s="1049"/>
      <c r="E40" s="1048"/>
      <c r="F40" s="1048"/>
    </row>
    <row r="41" spans="2:6" ht="13.5" thickBot="1">
      <c r="B41" s="32"/>
      <c r="C41" s="791"/>
      <c r="D41" s="1049"/>
      <c r="E41" s="1042"/>
      <c r="F41" s="1042"/>
    </row>
    <row r="42" spans="2:6" ht="13.5" thickBot="1">
      <c r="B42" s="34" t="s">
        <v>109</v>
      </c>
      <c r="C42" s="800">
        <f>SUM(C34:C41)</f>
        <v>3984401.83</v>
      </c>
      <c r="D42" s="1043">
        <f>SUM(D34:D41)</f>
        <v>376212</v>
      </c>
      <c r="E42" s="1050">
        <f>SUM(E34:E41)</f>
        <v>225000</v>
      </c>
      <c r="F42" s="1050">
        <f>SUM(F34:F41)</f>
        <v>227600</v>
      </c>
    </row>
    <row r="43" spans="2:6" ht="12.75">
      <c r="B43" s="31" t="str">
        <f>f_mérl_!D9</f>
        <v>Beruházások</v>
      </c>
      <c r="C43" s="1051">
        <f>f_mérl_!F9/1000</f>
        <v>1233006.384</v>
      </c>
      <c r="D43" s="1045">
        <v>270000</v>
      </c>
      <c r="E43" s="1046">
        <v>90000</v>
      </c>
      <c r="F43" s="1046">
        <v>90000</v>
      </c>
    </row>
    <row r="44" spans="2:6" ht="12.75">
      <c r="B44" s="32" t="str">
        <f>f_mérl_!D10</f>
        <v>Felújítások</v>
      </c>
      <c r="C44" s="1052">
        <f>f_mérl_!F10/1000</f>
        <v>2114569.725</v>
      </c>
      <c r="D44" s="1047">
        <v>96000</v>
      </c>
      <c r="E44" s="1048">
        <v>95000</v>
      </c>
      <c r="F44" s="1048">
        <v>119964</v>
      </c>
    </row>
    <row r="45" spans="2:6" ht="12.75">
      <c r="B45" s="32" t="str">
        <f>f_mérl_!D11</f>
        <v>Egyéb felhalmozási célú kiadások</v>
      </c>
      <c r="C45" s="784">
        <f>f_mérl_!F11/1000</f>
        <v>34380</v>
      </c>
      <c r="D45" s="1047">
        <v>2000</v>
      </c>
      <c r="E45" s="1048">
        <v>2000</v>
      </c>
      <c r="F45" s="1048">
        <v>2000</v>
      </c>
    </row>
    <row r="46" spans="2:6" ht="12.75">
      <c r="B46" s="32" t="str">
        <f>f_mérl_!D21</f>
        <v>Hitel, kölcsöntörlesztés ÁH kívülre</v>
      </c>
      <c r="C46" s="791">
        <f>f_mérl_!F21</f>
        <v>0</v>
      </c>
      <c r="D46" s="1047"/>
      <c r="E46" s="1048"/>
      <c r="F46" s="1048"/>
    </row>
    <row r="47" spans="2:6" ht="12.75">
      <c r="B47" s="32" t="str">
        <f>f_mérl_!D25</f>
        <v>Központi, irányító szervi támogatás folyósítása</v>
      </c>
      <c r="C47" s="791">
        <f>f_mérl_!F25/1000</f>
        <v>20342.714</v>
      </c>
      <c r="D47" s="1047">
        <v>6000</v>
      </c>
      <c r="E47" s="1048">
        <v>6500</v>
      </c>
      <c r="F47" s="1048">
        <v>7000</v>
      </c>
    </row>
    <row r="48" spans="2:6" ht="12.75">
      <c r="B48" s="615" t="s">
        <v>22</v>
      </c>
      <c r="C48" s="791">
        <f>tart_!D24/1000</f>
        <v>65100</v>
      </c>
      <c r="D48" s="1047">
        <v>34600</v>
      </c>
      <c r="E48" s="1048">
        <v>30000</v>
      </c>
      <c r="F48" s="1048">
        <v>30000</v>
      </c>
    </row>
    <row r="49" spans="2:6" ht="12.75">
      <c r="B49" s="35"/>
      <c r="C49" s="784"/>
      <c r="D49" s="1047"/>
      <c r="E49" s="1048"/>
      <c r="F49" s="1048"/>
    </row>
    <row r="50" spans="2:6" ht="13.5" thickBot="1">
      <c r="B50" s="33"/>
      <c r="C50" s="784"/>
      <c r="D50" s="1047"/>
      <c r="E50" s="1042"/>
      <c r="F50" s="1042"/>
    </row>
    <row r="51" spans="2:6" ht="13.5" thickBot="1">
      <c r="B51" s="34" t="s">
        <v>110</v>
      </c>
      <c r="C51" s="800">
        <f>SUM(C43:C50)</f>
        <v>3467398.8230000003</v>
      </c>
      <c r="D51" s="1043">
        <f>SUM(D43:D50)</f>
        <v>408600</v>
      </c>
      <c r="E51" s="1053">
        <f>SUM(E43:E50)</f>
        <v>223500</v>
      </c>
      <c r="F51" s="1053">
        <f>SUM(F43:F50)</f>
        <v>248964</v>
      </c>
    </row>
    <row r="52" spans="2:6" ht="13.5" thickBot="1">
      <c r="B52" s="36" t="s">
        <v>62</v>
      </c>
      <c r="C52" s="787">
        <f>C18+C42</f>
        <v>7793101.6476</v>
      </c>
      <c r="D52" s="1054">
        <f>D18+D42</f>
        <v>3657110</v>
      </c>
      <c r="E52" s="1055">
        <f>E18+E42</f>
        <v>3376870</v>
      </c>
      <c r="F52" s="1055">
        <f>F18+F42</f>
        <v>3377834</v>
      </c>
    </row>
    <row r="53" spans="2:6" ht="13.5" thickBot="1">
      <c r="B53" s="36" t="s">
        <v>67</v>
      </c>
      <c r="C53" s="787">
        <f>C33+C51</f>
        <v>7793101.648</v>
      </c>
      <c r="D53" s="1054">
        <f>D33+D51</f>
        <v>3657110</v>
      </c>
      <c r="E53" s="1055">
        <f>E33+E51</f>
        <v>3376870</v>
      </c>
      <c r="F53" s="1055">
        <f>F33+F51</f>
        <v>3377834</v>
      </c>
    </row>
    <row r="55" spans="2:6" ht="12.75" hidden="1">
      <c r="B55" s="37"/>
      <c r="C55" s="16">
        <f>C52-C53</f>
        <v>-0.0004000002518296242</v>
      </c>
      <c r="D55" s="16">
        <f>D52-D53</f>
        <v>0</v>
      </c>
      <c r="E55" s="16">
        <f>E52-E53</f>
        <v>0</v>
      </c>
      <c r="F55" s="16">
        <f>F52-F53</f>
        <v>0</v>
      </c>
    </row>
    <row r="56" spans="2:6" ht="12.75">
      <c r="B56" s="37"/>
      <c r="C56" s="16">
        <f>C53-C52</f>
        <v>0.0004000002518296242</v>
      </c>
      <c r="D56" s="16">
        <f>D53-D52</f>
        <v>0</v>
      </c>
      <c r="E56" s="16">
        <f>E53-E52</f>
        <v>0</v>
      </c>
      <c r="F56" s="16">
        <f>F53-F52</f>
        <v>0</v>
      </c>
    </row>
  </sheetData>
  <sheetProtection/>
  <mergeCells count="2">
    <mergeCell ref="B4:F4"/>
    <mergeCell ref="B5:F5"/>
  </mergeCells>
  <printOptions horizontalCentered="1"/>
  <pageMargins left="0.27" right="0.17" top="1.29921259842519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36.125" style="357" customWidth="1"/>
    <col min="2" max="2" width="14.125" style="357" customWidth="1"/>
    <col min="3" max="3" width="10.625" style="357" customWidth="1"/>
    <col min="4" max="5" width="11.75390625" style="357" customWidth="1"/>
    <col min="6" max="6" width="13.625" style="357" customWidth="1"/>
    <col min="7" max="7" width="11.125" style="357" customWidth="1"/>
    <col min="8" max="8" width="11.875" style="357" customWidth="1"/>
    <col min="9" max="9" width="12.00390625" style="357" customWidth="1"/>
    <col min="10" max="10" width="11.25390625" style="357" customWidth="1"/>
    <col min="11" max="11" width="12.375" style="357" customWidth="1"/>
    <col min="12" max="13" width="12.625" style="357" customWidth="1"/>
    <col min="14" max="14" width="13.75390625" style="357" customWidth="1"/>
    <col min="15" max="15" width="13.00390625" style="357" customWidth="1"/>
    <col min="16" max="16" width="12.25390625" style="357" hidden="1" customWidth="1"/>
    <col min="17" max="17" width="14.25390625" style="359" hidden="1" customWidth="1"/>
    <col min="18" max="19" width="9.125" style="357" customWidth="1"/>
    <col min="20" max="16384" width="9.125" style="357" customWidth="1"/>
  </cols>
  <sheetData>
    <row r="1" spans="8:9" ht="12.75">
      <c r="H1" s="358" t="s">
        <v>131</v>
      </c>
      <c r="I1" s="357" t="str">
        <f>'bev-int'!B1</f>
        <v>melléklet a …/2024. (III.  .) önkormányzati rendelethez</v>
      </c>
    </row>
    <row r="3" spans="1:14" ht="12.75">
      <c r="A3" s="1320" t="s">
        <v>731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</row>
    <row r="4" spans="14:15" ht="12.75">
      <c r="N4" s="93" t="s">
        <v>848</v>
      </c>
      <c r="O4" s="360"/>
    </row>
    <row r="5" spans="1:15" ht="15">
      <c r="A5" s="361" t="s">
        <v>55</v>
      </c>
      <c r="B5" s="362" t="s">
        <v>82</v>
      </c>
      <c r="C5" s="363" t="s">
        <v>116</v>
      </c>
      <c r="D5" s="363" t="s">
        <v>117</v>
      </c>
      <c r="E5" s="363" t="s">
        <v>118</v>
      </c>
      <c r="F5" s="363" t="s">
        <v>119</v>
      </c>
      <c r="G5" s="363" t="s">
        <v>120</v>
      </c>
      <c r="H5" s="363" t="s">
        <v>121</v>
      </c>
      <c r="I5" s="363" t="s">
        <v>122</v>
      </c>
      <c r="J5" s="363" t="s">
        <v>123</v>
      </c>
      <c r="K5" s="363" t="s">
        <v>124</v>
      </c>
      <c r="L5" s="363" t="s">
        <v>125</v>
      </c>
      <c r="M5" s="364" t="s">
        <v>126</v>
      </c>
      <c r="N5" s="365" t="s">
        <v>87</v>
      </c>
      <c r="O5" s="360"/>
    </row>
    <row r="6" spans="1:15" ht="12.75">
      <c r="A6" s="366" t="s">
        <v>127</v>
      </c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370"/>
      <c r="O6" s="360"/>
    </row>
    <row r="7" spans="1:17" ht="12.75">
      <c r="A7" s="371" t="str">
        <f>'bev-int'!A15</f>
        <v>Működési célú támogatások ÁH belülről</v>
      </c>
      <c r="B7" s="372">
        <f>81641+2792</f>
        <v>84433</v>
      </c>
      <c r="C7" s="372">
        <f>81641+3200</f>
        <v>84841</v>
      </c>
      <c r="D7" s="372">
        <f>81641+27801</f>
        <v>109442</v>
      </c>
      <c r="E7" s="372">
        <v>92700</v>
      </c>
      <c r="F7" s="372">
        <v>91927</v>
      </c>
      <c r="G7" s="372">
        <v>91927</v>
      </c>
      <c r="H7" s="372">
        <v>103380</v>
      </c>
      <c r="I7" s="372">
        <v>103380</v>
      </c>
      <c r="J7" s="372">
        <v>103380</v>
      </c>
      <c r="K7" s="372">
        <v>103380</v>
      </c>
      <c r="L7" s="372">
        <v>103380</v>
      </c>
      <c r="M7" s="372">
        <v>103380</v>
      </c>
      <c r="N7" s="373">
        <f>SUM(B7:M7)</f>
        <v>1175550</v>
      </c>
      <c r="O7" s="360">
        <f>'bev-int'!C15</f>
        <v>1264670240.6</v>
      </c>
      <c r="P7" s="357">
        <f>O7-N7</f>
        <v>1263494690.6</v>
      </c>
      <c r="Q7" s="359">
        <f>'bev-int'!C15</f>
        <v>1264670240.6</v>
      </c>
    </row>
    <row r="8" spans="1:17" ht="12.75">
      <c r="A8" s="371" t="str">
        <f>'bev-int'!A21</f>
        <v>Felhalmozási célú támogatások ÁH belülről</v>
      </c>
      <c r="B8" s="372"/>
      <c r="C8" s="374"/>
      <c r="D8" s="374">
        <v>199357</v>
      </c>
      <c r="E8" s="374"/>
      <c r="F8" s="374"/>
      <c r="G8" s="374"/>
      <c r="H8" s="374"/>
      <c r="I8" s="374">
        <v>484088</v>
      </c>
      <c r="J8" s="374"/>
      <c r="K8" s="374"/>
      <c r="L8" s="374">
        <v>1549</v>
      </c>
      <c r="M8" s="375"/>
      <c r="N8" s="373">
        <f aca="true" t="shared" si="0" ref="N8:N18">SUM(B8:M8)</f>
        <v>684994</v>
      </c>
      <c r="O8" s="360">
        <f>'bev-int'!C21</f>
        <v>1073495706</v>
      </c>
      <c r="P8" s="357">
        <f>O8-N8</f>
        <v>1072810712</v>
      </c>
      <c r="Q8" s="359">
        <f>'bev-int'!C21</f>
        <v>1073495706</v>
      </c>
    </row>
    <row r="9" spans="1:17" ht="12.75">
      <c r="A9" s="371" t="str">
        <f>'bev-int'!A26</f>
        <v>Közhatalmi bevételek</v>
      </c>
      <c r="B9" s="372">
        <v>200</v>
      </c>
      <c r="C9" s="372">
        <v>4500</v>
      </c>
      <c r="D9" s="372">
        <v>150000</v>
      </c>
      <c r="E9" s="372">
        <v>4500</v>
      </c>
      <c r="F9" s="372">
        <v>4500</v>
      </c>
      <c r="G9" s="372">
        <v>4500</v>
      </c>
      <c r="H9" s="372">
        <v>4600</v>
      </c>
      <c r="I9" s="372">
        <v>20000</v>
      </c>
      <c r="J9" s="372">
        <v>140000</v>
      </c>
      <c r="K9" s="372">
        <v>10000</v>
      </c>
      <c r="L9" s="372">
        <v>3700</v>
      </c>
      <c r="M9" s="372">
        <v>986</v>
      </c>
      <c r="N9" s="373">
        <f t="shared" si="0"/>
        <v>347486</v>
      </c>
      <c r="O9" s="360">
        <f>'bev-int'!C26</f>
        <v>522382745</v>
      </c>
      <c r="P9" s="357">
        <f>O9-N9</f>
        <v>522035259</v>
      </c>
      <c r="Q9" s="359">
        <f>'bev-int'!C26</f>
        <v>522382745</v>
      </c>
    </row>
    <row r="10" spans="1:17" ht="12.75">
      <c r="A10" s="371" t="str">
        <f>'bev-int'!A27</f>
        <v>Működési bevételek</v>
      </c>
      <c r="B10" s="372">
        <v>53073</v>
      </c>
      <c r="C10" s="372">
        <v>53075</v>
      </c>
      <c r="D10" s="372">
        <v>53080</v>
      </c>
      <c r="E10" s="372">
        <v>53080</v>
      </c>
      <c r="F10" s="372">
        <v>53080</v>
      </c>
      <c r="G10" s="372">
        <v>53081</v>
      </c>
      <c r="H10" s="372">
        <v>53080</v>
      </c>
      <c r="I10" s="372">
        <v>53080</v>
      </c>
      <c r="J10" s="372">
        <v>53081</v>
      </c>
      <c r="K10" s="372">
        <v>53080</v>
      </c>
      <c r="L10" s="372">
        <v>53080</v>
      </c>
      <c r="M10" s="372">
        <v>53081</v>
      </c>
      <c r="N10" s="373">
        <f t="shared" si="0"/>
        <v>636951</v>
      </c>
      <c r="O10" s="360">
        <f>'bev-int'!C27</f>
        <v>528123368</v>
      </c>
      <c r="P10" s="357">
        <f>O10-N10</f>
        <v>527486417</v>
      </c>
      <c r="Q10" s="359">
        <f>'bev-int'!C27</f>
        <v>528123368</v>
      </c>
    </row>
    <row r="11" spans="1:17" ht="12.75">
      <c r="A11" s="371" t="str">
        <f>'bev-int'!A28</f>
        <v>Felhalmozási bevételek</v>
      </c>
      <c r="B11" s="372"/>
      <c r="C11" s="372"/>
      <c r="D11" s="372"/>
      <c r="E11" s="372"/>
      <c r="F11" s="372"/>
      <c r="G11" s="372"/>
      <c r="H11" s="372"/>
      <c r="I11" s="372">
        <v>426</v>
      </c>
      <c r="J11" s="372"/>
      <c r="K11" s="372"/>
      <c r="L11" s="372"/>
      <c r="M11" s="372"/>
      <c r="N11" s="373">
        <f t="shared" si="0"/>
        <v>426</v>
      </c>
      <c r="O11" s="360">
        <f>'bev-int'!C28</f>
        <v>593323</v>
      </c>
      <c r="P11" s="357">
        <f aca="true" t="shared" si="1" ref="P11:P18">O11-N11</f>
        <v>592897</v>
      </c>
      <c r="Q11" s="359">
        <f>'bev-int'!C28</f>
        <v>593323</v>
      </c>
    </row>
    <row r="12" spans="1:17" ht="12.75">
      <c r="A12" s="371" t="str">
        <f>'bev-int'!A29</f>
        <v>Működési célú átvett pénzeszközök</v>
      </c>
      <c r="B12" s="372"/>
      <c r="C12" s="372"/>
      <c r="D12" s="372"/>
      <c r="E12" s="372"/>
      <c r="F12" s="372"/>
      <c r="G12" s="372"/>
      <c r="H12" s="372"/>
      <c r="I12" s="372">
        <v>2887</v>
      </c>
      <c r="J12" s="372">
        <v>2887</v>
      </c>
      <c r="K12" s="372">
        <v>2887</v>
      </c>
      <c r="L12" s="372">
        <v>2887</v>
      </c>
      <c r="M12" s="372">
        <v>2887</v>
      </c>
      <c r="N12" s="373">
        <f t="shared" si="0"/>
        <v>14435</v>
      </c>
      <c r="O12" s="360">
        <f>'bev-int'!C29</f>
        <v>400000</v>
      </c>
      <c r="P12" s="357">
        <f t="shared" si="1"/>
        <v>385565</v>
      </c>
      <c r="Q12" s="359">
        <f>'bev-int'!C29</f>
        <v>400000</v>
      </c>
    </row>
    <row r="13" spans="1:17" ht="12.75">
      <c r="A13" s="371" t="str">
        <f>'bev-int'!A30</f>
        <v>Felhalmozási célú átvett pénzeszközök</v>
      </c>
      <c r="B13" s="372">
        <v>194</v>
      </c>
      <c r="C13" s="372">
        <v>194</v>
      </c>
      <c r="D13" s="372">
        <v>194</v>
      </c>
      <c r="E13" s="372">
        <v>194</v>
      </c>
      <c r="F13" s="372">
        <v>194</v>
      </c>
      <c r="G13" s="372">
        <v>194</v>
      </c>
      <c r="H13" s="372">
        <v>194</v>
      </c>
      <c r="I13" s="372">
        <v>194</v>
      </c>
      <c r="J13" s="372">
        <v>194</v>
      </c>
      <c r="K13" s="372">
        <v>194</v>
      </c>
      <c r="L13" s="372">
        <v>194</v>
      </c>
      <c r="M13" s="372">
        <v>193</v>
      </c>
      <c r="N13" s="373">
        <f t="shared" si="0"/>
        <v>2327</v>
      </c>
      <c r="O13" s="360">
        <f>'bev-int'!C30</f>
        <v>63329627</v>
      </c>
      <c r="P13" s="357">
        <f t="shared" si="1"/>
        <v>63327300</v>
      </c>
      <c r="Q13" s="359">
        <f>'bev-int'!C30</f>
        <v>63329627</v>
      </c>
    </row>
    <row r="14" spans="1:16" ht="12.75">
      <c r="A14" s="371" t="s">
        <v>224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3">
        <f t="shared" si="0"/>
        <v>0</v>
      </c>
      <c r="O14" s="360">
        <f>'bev-int'!C32</f>
        <v>0</v>
      </c>
      <c r="P14" s="357">
        <f t="shared" si="1"/>
        <v>0</v>
      </c>
    </row>
    <row r="15" spans="1:15" ht="12.75">
      <c r="A15" s="504" t="s">
        <v>528</v>
      </c>
      <c r="B15" s="372"/>
      <c r="C15" s="372"/>
      <c r="D15" s="372"/>
      <c r="E15" s="372"/>
      <c r="F15" s="372"/>
      <c r="G15" s="372">
        <v>77</v>
      </c>
      <c r="H15" s="372"/>
      <c r="I15" s="372"/>
      <c r="J15" s="372"/>
      <c r="K15" s="372"/>
      <c r="L15" s="372"/>
      <c r="M15" s="372"/>
      <c r="N15" s="373">
        <f t="shared" si="0"/>
        <v>77</v>
      </c>
      <c r="O15" s="360"/>
    </row>
    <row r="16" spans="1:17" ht="12.75">
      <c r="A16" s="371" t="str">
        <f>'bev-int'!A34</f>
        <v>Maradvány igénybevétele</v>
      </c>
      <c r="B16" s="372">
        <v>3090560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3">
        <f t="shared" si="0"/>
        <v>3090560</v>
      </c>
      <c r="O16" s="360">
        <f>'bev-int'!C34</f>
        <v>3090560001</v>
      </c>
      <c r="P16" s="357">
        <f t="shared" si="1"/>
        <v>3087469441</v>
      </c>
      <c r="Q16" s="359">
        <f>'bev-int'!C34</f>
        <v>3090560001</v>
      </c>
    </row>
    <row r="17" spans="1:17" ht="12.75">
      <c r="A17" s="371" t="str">
        <f>'bev-int'!A37</f>
        <v>Központi, irányító szervi támogatás</v>
      </c>
      <c r="B17" s="376">
        <v>90000</v>
      </c>
      <c r="C17" s="376">
        <v>90000</v>
      </c>
      <c r="D17" s="376">
        <v>93636</v>
      </c>
      <c r="E17" s="376">
        <v>100000</v>
      </c>
      <c r="F17" s="376">
        <v>100000</v>
      </c>
      <c r="G17" s="376">
        <v>100000</v>
      </c>
      <c r="H17" s="376">
        <v>100000</v>
      </c>
      <c r="I17" s="376">
        <v>100000</v>
      </c>
      <c r="J17" s="376">
        <v>100000</v>
      </c>
      <c r="K17" s="376">
        <v>110000</v>
      </c>
      <c r="L17" s="376">
        <v>110000</v>
      </c>
      <c r="M17" s="376">
        <v>103741</v>
      </c>
      <c r="N17" s="373">
        <f t="shared" si="0"/>
        <v>1197377</v>
      </c>
      <c r="O17" s="360">
        <f>'bev-int'!C37</f>
        <v>1206045772</v>
      </c>
      <c r="P17" s="357">
        <f t="shared" si="1"/>
        <v>1204848395</v>
      </c>
      <c r="Q17" s="359">
        <f>'bev-int'!C37</f>
        <v>1206045772</v>
      </c>
    </row>
    <row r="18" spans="1:17" ht="12.75">
      <c r="A18" s="377" t="s">
        <v>472</v>
      </c>
      <c r="B18" s="376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3">
        <f t="shared" si="0"/>
        <v>0</v>
      </c>
      <c r="O18" s="360">
        <f>'bev-int'!C38</f>
        <v>0</v>
      </c>
      <c r="P18" s="357">
        <f t="shared" si="1"/>
        <v>0</v>
      </c>
      <c r="Q18" s="359">
        <f>'bev-int'!C38</f>
        <v>0</v>
      </c>
    </row>
    <row r="19" spans="1:17" ht="12.75">
      <c r="A19" s="379" t="s">
        <v>62</v>
      </c>
      <c r="B19" s="380">
        <f>SUM(B6:B18)</f>
        <v>3318460</v>
      </c>
      <c r="C19" s="380">
        <f aca="true" t="shared" si="2" ref="C19:K19">SUM(C6:C18)</f>
        <v>232610</v>
      </c>
      <c r="D19" s="380">
        <f t="shared" si="2"/>
        <v>605709</v>
      </c>
      <c r="E19" s="380">
        <f t="shared" si="2"/>
        <v>250474</v>
      </c>
      <c r="F19" s="380">
        <f t="shared" si="2"/>
        <v>249701</v>
      </c>
      <c r="G19" s="380">
        <f t="shared" si="2"/>
        <v>249779</v>
      </c>
      <c r="H19" s="380">
        <f t="shared" si="2"/>
        <v>261254</v>
      </c>
      <c r="I19" s="380">
        <f t="shared" si="2"/>
        <v>764055</v>
      </c>
      <c r="J19" s="380">
        <f t="shared" si="2"/>
        <v>399542</v>
      </c>
      <c r="K19" s="380">
        <f t="shared" si="2"/>
        <v>279541</v>
      </c>
      <c r="L19" s="380">
        <f>SUM(L6:L18)</f>
        <v>274790</v>
      </c>
      <c r="M19" s="380">
        <f>SUM(M6:M18)</f>
        <v>264268</v>
      </c>
      <c r="N19" s="381">
        <f>SUM(B19:M19)</f>
        <v>7150183</v>
      </c>
      <c r="O19" s="382">
        <f>'bev-int'!C43</f>
        <v>7793101647.6</v>
      </c>
      <c r="P19" s="383">
        <f>SUM(N7:N18)</f>
        <v>7150183</v>
      </c>
      <c r="Q19" s="359">
        <f>'bev-int'!C43</f>
        <v>7793101647.6</v>
      </c>
    </row>
    <row r="20" spans="1:16" ht="12.75">
      <c r="A20" s="366" t="s">
        <v>94</v>
      </c>
      <c r="B20" s="367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9"/>
      <c r="N20" s="370"/>
      <c r="O20" s="360"/>
      <c r="P20" s="383"/>
    </row>
    <row r="21" spans="1:17" ht="12.75">
      <c r="A21" s="371" t="str">
        <f>'kiad-int'!A8</f>
        <v>Személyi juttatások</v>
      </c>
      <c r="B21" s="372">
        <v>80000</v>
      </c>
      <c r="C21" s="372">
        <v>80865</v>
      </c>
      <c r="D21" s="372">
        <v>80866</v>
      </c>
      <c r="E21" s="372">
        <v>80865</v>
      </c>
      <c r="F21" s="372">
        <v>80865</v>
      </c>
      <c r="G21" s="372">
        <v>80865</v>
      </c>
      <c r="H21" s="372">
        <f>80866+738</f>
        <v>81604</v>
      </c>
      <c r="I21" s="372">
        <v>81148</v>
      </c>
      <c r="J21" s="372">
        <v>81148</v>
      </c>
      <c r="K21" s="372">
        <v>81148</v>
      </c>
      <c r="L21" s="372">
        <v>81148</v>
      </c>
      <c r="M21" s="372">
        <v>81148</v>
      </c>
      <c r="N21" s="373">
        <f>SUM(B21:M21)</f>
        <v>971670</v>
      </c>
      <c r="O21" s="360">
        <f>'kiad-int'!C8</f>
        <v>960707200</v>
      </c>
      <c r="P21" s="357">
        <f aca="true" t="shared" si="3" ref="P21:P31">O21-N21</f>
        <v>959735530</v>
      </c>
      <c r="Q21" s="359">
        <f>'kiad-int'!C8</f>
        <v>960707200</v>
      </c>
    </row>
    <row r="22" spans="1:17" ht="12.75">
      <c r="A22" s="371" t="str">
        <f>'kiad-int'!A9</f>
        <v>Munkaadókat terhelő járulékok</v>
      </c>
      <c r="B22" s="372">
        <v>10400</v>
      </c>
      <c r="C22" s="372">
        <v>11787</v>
      </c>
      <c r="D22" s="372">
        <v>11786</v>
      </c>
      <c r="E22" s="372">
        <v>11786</v>
      </c>
      <c r="F22" s="372">
        <v>11786</v>
      </c>
      <c r="G22" s="372">
        <v>11786</v>
      </c>
      <c r="H22" s="372">
        <f>11786+96</f>
        <v>11882</v>
      </c>
      <c r="I22" s="372">
        <v>11819</v>
      </c>
      <c r="J22" s="372">
        <v>11820</v>
      </c>
      <c r="K22" s="372">
        <v>11819</v>
      </c>
      <c r="L22" s="372">
        <v>11820</v>
      </c>
      <c r="M22" s="372">
        <v>11820</v>
      </c>
      <c r="N22" s="373">
        <f aca="true" t="shared" si="4" ref="N22:N31">SUM(B22:M22)</f>
        <v>140311</v>
      </c>
      <c r="O22" s="360">
        <f>'kiad-int'!C9</f>
        <v>137903789</v>
      </c>
      <c r="P22" s="357">
        <f t="shared" si="3"/>
        <v>137763478</v>
      </c>
      <c r="Q22" s="359">
        <f>'kiad-int'!C9</f>
        <v>137903789</v>
      </c>
    </row>
    <row r="23" spans="1:17" ht="12.75">
      <c r="A23" s="371" t="str">
        <f>'kiad-int'!A15</f>
        <v>Dologi kiadások</v>
      </c>
      <c r="B23" s="372">
        <v>80000</v>
      </c>
      <c r="C23" s="372">
        <v>100000</v>
      </c>
      <c r="D23" s="372">
        <v>130000</v>
      </c>
      <c r="E23" s="372">
        <v>110000</v>
      </c>
      <c r="F23" s="372">
        <v>100000</v>
      </c>
      <c r="G23" s="372">
        <v>80000</v>
      </c>
      <c r="H23" s="372">
        <v>100000</v>
      </c>
      <c r="I23" s="372">
        <v>100000</v>
      </c>
      <c r="J23" s="372">
        <v>120000</v>
      </c>
      <c r="K23" s="372">
        <v>120000</v>
      </c>
      <c r="L23" s="372">
        <v>130000</v>
      </c>
      <c r="M23" s="372">
        <v>139409</v>
      </c>
      <c r="N23" s="373">
        <f>SUM(B23:M23)</f>
        <v>1309409</v>
      </c>
      <c r="O23" s="360">
        <f>'kiad-int'!C15</f>
        <v>1399664112</v>
      </c>
      <c r="P23" s="357">
        <f t="shared" si="3"/>
        <v>1398354703</v>
      </c>
      <c r="Q23" s="359">
        <f>'kiad-int'!C15</f>
        <v>1399664112</v>
      </c>
    </row>
    <row r="24" spans="1:17" ht="12.75">
      <c r="A24" s="371" t="str">
        <f>'kiad-int'!A16</f>
        <v>Ellátottak pénzbeli juttatásai</v>
      </c>
      <c r="B24" s="372">
        <v>247</v>
      </c>
      <c r="C24" s="372">
        <v>448</v>
      </c>
      <c r="D24" s="372">
        <v>548</v>
      </c>
      <c r="E24" s="372">
        <v>347</v>
      </c>
      <c r="F24" s="372">
        <v>248</v>
      </c>
      <c r="G24" s="372">
        <v>247</v>
      </c>
      <c r="H24" s="372">
        <v>248</v>
      </c>
      <c r="I24" s="372">
        <v>247</v>
      </c>
      <c r="J24" s="372">
        <v>748</v>
      </c>
      <c r="K24" s="372">
        <v>248</v>
      </c>
      <c r="L24" s="372">
        <v>1247</v>
      </c>
      <c r="M24" s="372">
        <v>1747</v>
      </c>
      <c r="N24" s="373">
        <f t="shared" si="4"/>
        <v>6570</v>
      </c>
      <c r="O24" s="360">
        <f>'kiad-int'!C16</f>
        <v>6840637</v>
      </c>
      <c r="P24" s="357">
        <f t="shared" si="3"/>
        <v>6834067</v>
      </c>
      <c r="Q24" s="359">
        <f>'kiad-int'!C16</f>
        <v>6840637</v>
      </c>
    </row>
    <row r="25" spans="1:17" ht="12.75">
      <c r="A25" s="371" t="str">
        <f>'kiad-int'!A17</f>
        <v>Egyéb működési célú kiadások</v>
      </c>
      <c r="B25" s="372">
        <v>21133</v>
      </c>
      <c r="C25" s="372">
        <v>21133</v>
      </c>
      <c r="D25" s="372">
        <v>29000</v>
      </c>
      <c r="E25" s="372">
        <v>25133</v>
      </c>
      <c r="F25" s="372">
        <v>21132</v>
      </c>
      <c r="G25" s="372">
        <v>21133</v>
      </c>
      <c r="H25" s="372">
        <v>21133</v>
      </c>
      <c r="I25" s="372">
        <v>26874</v>
      </c>
      <c r="J25" s="372">
        <v>31133</v>
      </c>
      <c r="K25" s="372">
        <v>31133</v>
      </c>
      <c r="L25" s="372">
        <v>26165</v>
      </c>
      <c r="M25" s="372">
        <v>150691</v>
      </c>
      <c r="N25" s="373">
        <f t="shared" si="4"/>
        <v>425793</v>
      </c>
      <c r="O25" s="360">
        <f>'kiad-int'!C17</f>
        <v>661779950</v>
      </c>
      <c r="P25" s="357">
        <f t="shared" si="3"/>
        <v>661354157</v>
      </c>
      <c r="Q25" s="359">
        <f>'kiad-int'!C17</f>
        <v>661779950</v>
      </c>
    </row>
    <row r="26" spans="1:17" ht="12.75">
      <c r="A26" s="371" t="str">
        <f>'kiad-int'!A19</f>
        <v>Beruházások</v>
      </c>
      <c r="B26" s="372"/>
      <c r="C26" s="372"/>
      <c r="D26" s="372"/>
      <c r="E26" s="372">
        <v>942</v>
      </c>
      <c r="F26" s="372"/>
      <c r="G26" s="372"/>
      <c r="H26" s="372"/>
      <c r="I26" s="372">
        <v>250000</v>
      </c>
      <c r="J26" s="372">
        <v>250000</v>
      </c>
      <c r="K26" s="372">
        <v>250000</v>
      </c>
      <c r="L26" s="372">
        <v>165580</v>
      </c>
      <c r="M26" s="372">
        <v>311367</v>
      </c>
      <c r="N26" s="373">
        <f t="shared" si="4"/>
        <v>1227889</v>
      </c>
      <c r="O26" s="360">
        <f>'kiad-int'!C19</f>
        <v>1233006384</v>
      </c>
      <c r="P26" s="357">
        <f t="shared" si="3"/>
        <v>1231778495</v>
      </c>
      <c r="Q26" s="359">
        <f>'kiad-int'!C19</f>
        <v>1233006384</v>
      </c>
    </row>
    <row r="27" spans="1:17" ht="12.75">
      <c r="A27" s="371" t="str">
        <f>'kiad-int'!A20</f>
        <v>Felújítások</v>
      </c>
      <c r="B27" s="372"/>
      <c r="C27" s="374"/>
      <c r="D27" s="374">
        <v>5310</v>
      </c>
      <c r="E27" s="374">
        <v>2500</v>
      </c>
      <c r="F27" s="374">
        <v>2500</v>
      </c>
      <c r="G27" s="374">
        <v>11546</v>
      </c>
      <c r="H27" s="374">
        <v>11546</v>
      </c>
      <c r="I27" s="374">
        <v>11546</v>
      </c>
      <c r="J27" s="374">
        <v>5000</v>
      </c>
      <c r="K27" s="374">
        <v>252946</v>
      </c>
      <c r="L27" s="374">
        <v>1162155</v>
      </c>
      <c r="M27" s="375">
        <v>335016</v>
      </c>
      <c r="N27" s="373">
        <f t="shared" si="4"/>
        <v>1800065</v>
      </c>
      <c r="O27" s="360">
        <f>'kiad-int'!C20</f>
        <v>2114569725</v>
      </c>
      <c r="P27" s="357">
        <f t="shared" si="3"/>
        <v>2112769660</v>
      </c>
      <c r="Q27" s="359">
        <f>'kiad-int'!C20</f>
        <v>2114569725</v>
      </c>
    </row>
    <row r="28" spans="1:17" ht="12.75">
      <c r="A28" s="371" t="str">
        <f>'kiad-int'!A21</f>
        <v>Egyéb felhalmozási célú kiadások</v>
      </c>
      <c r="B28" s="372"/>
      <c r="C28" s="372"/>
      <c r="D28" s="372"/>
      <c r="E28" s="372"/>
      <c r="F28" s="372">
        <v>33000</v>
      </c>
      <c r="G28" s="372"/>
      <c r="H28" s="372">
        <v>300</v>
      </c>
      <c r="I28" s="372"/>
      <c r="J28" s="372"/>
      <c r="K28" s="372"/>
      <c r="L28" s="374"/>
      <c r="M28" s="375"/>
      <c r="N28" s="373">
        <f t="shared" si="4"/>
        <v>33300</v>
      </c>
      <c r="O28" s="360">
        <f>'kiad-int'!C21</f>
        <v>34380000</v>
      </c>
      <c r="P28" s="357">
        <f t="shared" si="3"/>
        <v>34346700</v>
      </c>
      <c r="Q28" s="359">
        <f>'kiad-int'!C21</f>
        <v>34380000</v>
      </c>
    </row>
    <row r="29" spans="1:17" ht="12.75">
      <c r="A29" s="504" t="s">
        <v>529</v>
      </c>
      <c r="B29" s="372">
        <v>37722</v>
      </c>
      <c r="C29" s="372"/>
      <c r="D29" s="372"/>
      <c r="E29" s="372"/>
      <c r="F29" s="372"/>
      <c r="G29" s="372">
        <v>77</v>
      </c>
      <c r="H29" s="372"/>
      <c r="I29" s="372"/>
      <c r="J29" s="372"/>
      <c r="K29" s="372"/>
      <c r="L29" s="372"/>
      <c r="M29" s="375"/>
      <c r="N29" s="373">
        <f t="shared" si="4"/>
        <v>37799</v>
      </c>
      <c r="O29" s="360">
        <f>'kiad-int'!I26</f>
        <v>38204079</v>
      </c>
      <c r="P29" s="357">
        <f t="shared" si="3"/>
        <v>38166280</v>
      </c>
      <c r="Q29" s="359">
        <f>'kiad-int'!C26</f>
        <v>38204079</v>
      </c>
    </row>
    <row r="30" spans="1:17" ht="12.75">
      <c r="A30" s="377" t="s">
        <v>473</v>
      </c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84"/>
      <c r="N30" s="373">
        <f t="shared" si="4"/>
        <v>0</v>
      </c>
      <c r="O30" s="360"/>
      <c r="P30" s="357">
        <f t="shared" si="3"/>
        <v>0</v>
      </c>
      <c r="Q30" s="359">
        <f>'kiad-int'!C28</f>
        <v>0</v>
      </c>
    </row>
    <row r="31" spans="1:17" ht="12.75">
      <c r="A31" s="377" t="str">
        <f>'kiad-int'!A27</f>
        <v>Központi, irányító szervi támogatás folyósítása</v>
      </c>
      <c r="B31" s="376">
        <v>90000</v>
      </c>
      <c r="C31" s="376">
        <v>90000</v>
      </c>
      <c r="D31" s="376">
        <v>93636</v>
      </c>
      <c r="E31" s="376">
        <v>100000</v>
      </c>
      <c r="F31" s="376">
        <v>100000</v>
      </c>
      <c r="G31" s="376">
        <v>100000</v>
      </c>
      <c r="H31" s="376">
        <v>100000</v>
      </c>
      <c r="I31" s="376">
        <v>100000</v>
      </c>
      <c r="J31" s="376">
        <v>100000</v>
      </c>
      <c r="K31" s="376">
        <v>110000</v>
      </c>
      <c r="L31" s="376">
        <v>110000</v>
      </c>
      <c r="M31" s="376">
        <v>103741</v>
      </c>
      <c r="N31" s="373">
        <f t="shared" si="4"/>
        <v>1197377</v>
      </c>
      <c r="O31" s="360">
        <f>'kiad-int'!I27</f>
        <v>1206045772</v>
      </c>
      <c r="P31" s="357">
        <f t="shared" si="3"/>
        <v>1204848395</v>
      </c>
      <c r="Q31" s="359">
        <f>'kiad-int'!C27</f>
        <v>1206045772</v>
      </c>
    </row>
    <row r="32" spans="1:17" ht="13.5" thickBot="1">
      <c r="A32" s="385" t="s">
        <v>67</v>
      </c>
      <c r="B32" s="386">
        <f>SUM(B21:B31)</f>
        <v>319502</v>
      </c>
      <c r="C32" s="387">
        <f aca="true" t="shared" si="5" ref="C32:M32">SUM(C21:C31)</f>
        <v>304233</v>
      </c>
      <c r="D32" s="387">
        <f t="shared" si="5"/>
        <v>351146</v>
      </c>
      <c r="E32" s="387">
        <f t="shared" si="5"/>
        <v>331573</v>
      </c>
      <c r="F32" s="387">
        <f t="shared" si="5"/>
        <v>349531</v>
      </c>
      <c r="G32" s="387">
        <f t="shared" si="5"/>
        <v>305654</v>
      </c>
      <c r="H32" s="387">
        <f t="shared" si="5"/>
        <v>326713</v>
      </c>
      <c r="I32" s="387">
        <f t="shared" si="5"/>
        <v>581634</v>
      </c>
      <c r="J32" s="387">
        <f t="shared" si="5"/>
        <v>599849</v>
      </c>
      <c r="K32" s="387">
        <f t="shared" si="5"/>
        <v>857294</v>
      </c>
      <c r="L32" s="387">
        <f t="shared" si="5"/>
        <v>1688115</v>
      </c>
      <c r="M32" s="388">
        <f t="shared" si="5"/>
        <v>1134939</v>
      </c>
      <c r="N32" s="389">
        <f>SUM(B32:M32)</f>
        <v>7150183</v>
      </c>
      <c r="O32" s="382">
        <f>'kiad-int'!C33</f>
        <v>7793101648</v>
      </c>
      <c r="P32" s="383">
        <f>SUM(N21:N31)</f>
        <v>7150183</v>
      </c>
      <c r="Q32" s="359">
        <f>'kiad-int'!C33</f>
        <v>7793101648</v>
      </c>
    </row>
    <row r="33" spans="1:16" ht="13.5" thickBot="1">
      <c r="A33" s="390" t="s">
        <v>226</v>
      </c>
      <c r="B33" s="391">
        <f aca="true" t="shared" si="6" ref="B33:M33">B19-B32</f>
        <v>2998958</v>
      </c>
      <c r="C33" s="391">
        <f t="shared" si="6"/>
        <v>-71623</v>
      </c>
      <c r="D33" s="391">
        <f t="shared" si="6"/>
        <v>254563</v>
      </c>
      <c r="E33" s="391">
        <f t="shared" si="6"/>
        <v>-81099</v>
      </c>
      <c r="F33" s="391">
        <f t="shared" si="6"/>
        <v>-99830</v>
      </c>
      <c r="G33" s="391">
        <f t="shared" si="6"/>
        <v>-55875</v>
      </c>
      <c r="H33" s="391">
        <f t="shared" si="6"/>
        <v>-65459</v>
      </c>
      <c r="I33" s="391">
        <f t="shared" si="6"/>
        <v>182421</v>
      </c>
      <c r="J33" s="391">
        <f t="shared" si="6"/>
        <v>-200307</v>
      </c>
      <c r="K33" s="391">
        <f t="shared" si="6"/>
        <v>-577753</v>
      </c>
      <c r="L33" s="391">
        <f t="shared" si="6"/>
        <v>-1413325</v>
      </c>
      <c r="M33" s="391">
        <f t="shared" si="6"/>
        <v>-870671</v>
      </c>
      <c r="N33" s="392">
        <f>SUM(B33:M33)</f>
        <v>0</v>
      </c>
      <c r="O33" s="360"/>
      <c r="P33" s="383"/>
    </row>
    <row r="34" spans="15:16" ht="12.75">
      <c r="O34" s="360"/>
      <c r="P34" s="383"/>
    </row>
    <row r="35" spans="15:16" ht="12.75">
      <c r="O35" s="360"/>
      <c r="P35" s="383"/>
    </row>
  </sheetData>
  <sheetProtection/>
  <mergeCells count="1">
    <mergeCell ref="A3:N3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zoomScalePageLayoutView="0" workbookViewId="0" topLeftCell="A27">
      <selection activeCell="J63" sqref="J63"/>
    </sheetView>
  </sheetViews>
  <sheetFormatPr defaultColWidth="9.00390625" defaultRowHeight="12.75"/>
  <cols>
    <col min="1" max="1" width="5.75390625" style="228" customWidth="1"/>
    <col min="2" max="2" width="11.75390625" style="16" customWidth="1"/>
    <col min="3" max="3" width="109.00390625" style="72" customWidth="1"/>
    <col min="4" max="4" width="10.25390625" style="16" customWidth="1"/>
    <col min="5" max="5" width="10.875" style="16" bestFit="1" customWidth="1"/>
    <col min="6" max="6" width="9.875" style="156" bestFit="1" customWidth="1"/>
    <col min="7" max="7" width="14.375" style="16" bestFit="1" customWidth="1"/>
    <col min="8" max="8" width="9.875" style="16" bestFit="1" customWidth="1"/>
    <col min="9" max="10" width="10.875" style="16" bestFit="1" customWidth="1"/>
    <col min="11" max="16384" width="9.125" style="16" customWidth="1"/>
  </cols>
  <sheetData>
    <row r="1" spans="1:2" ht="12.75">
      <c r="A1" s="469" t="s">
        <v>132</v>
      </c>
      <c r="B1" s="41" t="str">
        <f>'bev-int'!B1</f>
        <v>melléklet a …/2024. (III.  .) önkormányzati rendelethez</v>
      </c>
    </row>
    <row r="2" spans="1:2" ht="12.75">
      <c r="A2" s="469"/>
      <c r="B2" s="41"/>
    </row>
    <row r="3" spans="1:6" s="159" customFormat="1" ht="15.75">
      <c r="A3" s="1325" t="s">
        <v>732</v>
      </c>
      <c r="B3" s="1325"/>
      <c r="C3" s="1325"/>
      <c r="D3" s="1325"/>
      <c r="E3" s="1325"/>
      <c r="F3" s="418"/>
    </row>
    <row r="4" spans="1:7" s="159" customFormat="1" ht="17.25" customHeight="1">
      <c r="A4" s="470"/>
      <c r="C4" s="419"/>
      <c r="E4" s="1326"/>
      <c r="F4" s="1326"/>
      <c r="G4" s="1326"/>
    </row>
    <row r="5" spans="1:7" s="162" customFormat="1" ht="25.5">
      <c r="A5" s="444"/>
      <c r="B5" s="161" t="s">
        <v>362</v>
      </c>
      <c r="C5" s="420" t="s">
        <v>363</v>
      </c>
      <c r="D5" s="420" t="s">
        <v>364</v>
      </c>
      <c r="E5" s="1065" t="s">
        <v>365</v>
      </c>
      <c r="F5" s="1065" t="s">
        <v>366</v>
      </c>
      <c r="G5" s="420" t="s">
        <v>367</v>
      </c>
    </row>
    <row r="6" spans="1:7" s="162" customFormat="1" ht="12.75">
      <c r="A6" s="444"/>
      <c r="B6" s="313" t="s">
        <v>602</v>
      </c>
      <c r="C6" s="590" t="s">
        <v>603</v>
      </c>
      <c r="D6" s="160" t="s">
        <v>368</v>
      </c>
      <c r="E6" s="1066">
        <v>5873000</v>
      </c>
      <c r="F6" s="1067">
        <v>25.3</v>
      </c>
      <c r="G6" s="164">
        <f>E6*F6</f>
        <v>148586900</v>
      </c>
    </row>
    <row r="7" spans="1:7" s="162" customFormat="1" ht="12.75">
      <c r="A7" s="444"/>
      <c r="B7" s="160" t="s">
        <v>604</v>
      </c>
      <c r="C7" s="160" t="s">
        <v>605</v>
      </c>
      <c r="D7" s="160" t="s">
        <v>368</v>
      </c>
      <c r="E7" s="1066">
        <v>26000</v>
      </c>
      <c r="F7" s="1068"/>
      <c r="G7" s="164">
        <v>12646400</v>
      </c>
    </row>
    <row r="8" spans="1:7" s="162" customFormat="1" ht="12.75">
      <c r="A8" s="444"/>
      <c r="B8" s="160" t="s">
        <v>606</v>
      </c>
      <c r="C8" s="160" t="s">
        <v>607</v>
      </c>
      <c r="D8" s="160" t="s">
        <v>368</v>
      </c>
      <c r="E8" s="1066"/>
      <c r="F8" s="1068"/>
      <c r="G8" s="164">
        <v>13366500</v>
      </c>
    </row>
    <row r="9" spans="1:7" s="162" customFormat="1" ht="12.75">
      <c r="A9" s="444"/>
      <c r="B9" s="160" t="s">
        <v>608</v>
      </c>
      <c r="C9" s="160" t="s">
        <v>609</v>
      </c>
      <c r="D9" s="160" t="s">
        <v>368</v>
      </c>
      <c r="E9" s="1066"/>
      <c r="F9" s="1068"/>
      <c r="G9" s="164">
        <v>4562630</v>
      </c>
    </row>
    <row r="10" spans="1:7" s="162" customFormat="1" ht="12.75">
      <c r="A10" s="444"/>
      <c r="B10" s="160" t="s">
        <v>610</v>
      </c>
      <c r="C10" s="160" t="s">
        <v>611</v>
      </c>
      <c r="D10" s="160" t="s">
        <v>368</v>
      </c>
      <c r="E10" s="1066"/>
      <c r="F10" s="1068"/>
      <c r="G10" s="164">
        <v>7423010</v>
      </c>
    </row>
    <row r="11" spans="1:7" s="162" customFormat="1" ht="12.75">
      <c r="A11" s="444"/>
      <c r="B11" s="160" t="s">
        <v>612</v>
      </c>
      <c r="C11" s="160" t="s">
        <v>232</v>
      </c>
      <c r="D11" s="160" t="s">
        <v>368</v>
      </c>
      <c r="E11" s="1066"/>
      <c r="F11" s="1068"/>
      <c r="G11" s="164">
        <v>15447600</v>
      </c>
    </row>
    <row r="12" spans="1:7" s="162" customFormat="1" ht="12.75">
      <c r="A12" s="444"/>
      <c r="B12" s="160" t="s">
        <v>613</v>
      </c>
      <c r="C12" s="160" t="s">
        <v>371</v>
      </c>
      <c r="D12" s="160" t="s">
        <v>368</v>
      </c>
      <c r="E12" s="1066">
        <v>2550</v>
      </c>
      <c r="F12" s="1068"/>
      <c r="G12" s="164">
        <v>369750</v>
      </c>
    </row>
    <row r="13" spans="1:7" s="162" customFormat="1" ht="12.75">
      <c r="A13" s="444"/>
      <c r="B13" s="160"/>
      <c r="C13" s="1069" t="s">
        <v>734</v>
      </c>
      <c r="D13" s="1070"/>
      <c r="E13" s="1066"/>
      <c r="F13" s="1068"/>
      <c r="G13" s="164">
        <f>8250000-1830000</f>
        <v>6420000</v>
      </c>
    </row>
    <row r="14" spans="1:7" s="162" customFormat="1" ht="12.75">
      <c r="A14" s="444"/>
      <c r="B14" s="166" t="s">
        <v>614</v>
      </c>
      <c r="C14" s="166" t="s">
        <v>615</v>
      </c>
      <c r="D14" s="166" t="s">
        <v>369</v>
      </c>
      <c r="E14" s="1071"/>
      <c r="F14" s="1072"/>
      <c r="G14" s="167">
        <f>SUM(G6:G13)</f>
        <v>208822790</v>
      </c>
    </row>
    <row r="15" spans="1:7" s="162" customFormat="1" ht="12.75">
      <c r="A15" s="444"/>
      <c r="B15" s="160"/>
      <c r="C15" s="160"/>
      <c r="D15" s="160"/>
      <c r="E15" s="1073"/>
      <c r="F15" s="1073"/>
      <c r="G15" s="164"/>
    </row>
    <row r="16" spans="1:7" s="162" customFormat="1" ht="12.75">
      <c r="A16" s="444"/>
      <c r="B16" s="160" t="s">
        <v>616</v>
      </c>
      <c r="C16" s="160" t="s">
        <v>617</v>
      </c>
      <c r="D16" s="160" t="s">
        <v>370</v>
      </c>
      <c r="E16" s="1066">
        <v>137000</v>
      </c>
      <c r="F16" s="1074">
        <v>186</v>
      </c>
      <c r="G16" s="164">
        <f>E16*F16</f>
        <v>25482000</v>
      </c>
    </row>
    <row r="17" spans="1:7" s="162" customFormat="1" ht="12.75" customHeight="1" hidden="1">
      <c r="A17" s="444"/>
      <c r="B17" s="160" t="s">
        <v>618</v>
      </c>
      <c r="C17" s="160" t="s">
        <v>619</v>
      </c>
      <c r="D17" s="160" t="s">
        <v>370</v>
      </c>
      <c r="E17" s="1066"/>
      <c r="F17" s="1074"/>
      <c r="G17" s="164">
        <f>E17*F17</f>
        <v>0</v>
      </c>
    </row>
    <row r="18" spans="1:7" s="445" customFormat="1" ht="12.75">
      <c r="A18" s="444"/>
      <c r="B18" s="160" t="s">
        <v>620</v>
      </c>
      <c r="C18" s="160" t="s">
        <v>621</v>
      </c>
      <c r="D18" s="160" t="s">
        <v>370</v>
      </c>
      <c r="E18" s="1066">
        <v>6207520</v>
      </c>
      <c r="F18" s="1074">
        <v>16.1</v>
      </c>
      <c r="G18" s="164">
        <f>E18*F18</f>
        <v>99941072.00000001</v>
      </c>
    </row>
    <row r="19" spans="1:7" s="162" customFormat="1" ht="12.75">
      <c r="A19" s="444"/>
      <c r="B19" s="160" t="s">
        <v>622</v>
      </c>
      <c r="C19" s="160" t="s">
        <v>623</v>
      </c>
      <c r="D19" s="160" t="s">
        <v>370</v>
      </c>
      <c r="E19" s="1066">
        <v>533868</v>
      </c>
      <c r="F19" s="1074">
        <v>2.7</v>
      </c>
      <c r="G19" s="164">
        <f>E19*F19</f>
        <v>1441443.6</v>
      </c>
    </row>
    <row r="20" spans="1:7" s="162" customFormat="1" ht="12.75">
      <c r="A20" s="444"/>
      <c r="B20" s="160" t="s">
        <v>624</v>
      </c>
      <c r="C20" s="160" t="s">
        <v>625</v>
      </c>
      <c r="D20" s="160" t="s">
        <v>370</v>
      </c>
      <c r="E20" s="1066">
        <v>4421000</v>
      </c>
      <c r="F20" s="1068">
        <v>10.9</v>
      </c>
      <c r="G20" s="164">
        <f>E20*F20</f>
        <v>48188900</v>
      </c>
    </row>
    <row r="21" spans="1:7" s="162" customFormat="1" ht="12.75">
      <c r="A21" s="444"/>
      <c r="B21" s="591" t="s">
        <v>626</v>
      </c>
      <c r="C21" s="166" t="s">
        <v>372</v>
      </c>
      <c r="D21" s="166" t="s">
        <v>368</v>
      </c>
      <c r="E21" s="1075"/>
      <c r="F21" s="1075"/>
      <c r="G21" s="167">
        <f>SUM(G16:G20)</f>
        <v>175053415.60000002</v>
      </c>
    </row>
    <row r="22" spans="1:7" s="162" customFormat="1" ht="12.75">
      <c r="A22" s="444"/>
      <c r="B22" s="592"/>
      <c r="C22" s="160"/>
      <c r="D22" s="160"/>
      <c r="E22" s="1073"/>
      <c r="F22" s="1073"/>
      <c r="G22" s="164"/>
    </row>
    <row r="23" spans="1:7" s="162" customFormat="1" ht="12.75">
      <c r="A23" s="444"/>
      <c r="B23" s="160" t="s">
        <v>627</v>
      </c>
      <c r="C23" s="160" t="s">
        <v>628</v>
      </c>
      <c r="D23" s="160" t="s">
        <v>368</v>
      </c>
      <c r="E23" s="1073"/>
      <c r="F23" s="1073"/>
      <c r="G23" s="164"/>
    </row>
    <row r="24" spans="1:7" s="162" customFormat="1" ht="12.75">
      <c r="A24" s="444"/>
      <c r="B24" s="160"/>
      <c r="C24" s="160"/>
      <c r="D24" s="160"/>
      <c r="E24" s="1073"/>
      <c r="F24" s="1073"/>
      <c r="G24" s="164"/>
    </row>
    <row r="25" spans="1:7" s="162" customFormat="1" ht="12.75">
      <c r="A25" s="444"/>
      <c r="B25" s="160" t="s">
        <v>629</v>
      </c>
      <c r="C25" s="160" t="s">
        <v>233</v>
      </c>
      <c r="D25" s="160" t="s">
        <v>373</v>
      </c>
      <c r="E25" s="1066">
        <v>5928000</v>
      </c>
      <c r="F25" s="1068">
        <v>28209170</v>
      </c>
      <c r="G25" s="164">
        <f>E25*5.5</f>
        <v>32604000</v>
      </c>
    </row>
    <row r="26" spans="1:7" s="162" customFormat="1" ht="12.75">
      <c r="A26" s="444"/>
      <c r="B26" s="160" t="s">
        <v>630</v>
      </c>
      <c r="C26" s="160" t="s">
        <v>374</v>
      </c>
      <c r="D26" s="160" t="s">
        <v>373</v>
      </c>
      <c r="E26" s="1066">
        <v>5810270</v>
      </c>
      <c r="F26" s="1068">
        <v>24219850</v>
      </c>
      <c r="G26" s="164">
        <f>E26*5</f>
        <v>29051350</v>
      </c>
    </row>
    <row r="27" spans="1:7" s="162" customFormat="1" ht="12.75">
      <c r="A27" s="444"/>
      <c r="B27" s="160" t="s">
        <v>631</v>
      </c>
      <c r="C27" s="160" t="s">
        <v>632</v>
      </c>
      <c r="D27" s="160" t="s">
        <v>370</v>
      </c>
      <c r="E27" s="1066">
        <v>79610</v>
      </c>
      <c r="F27" s="1068">
        <v>65</v>
      </c>
      <c r="G27" s="164">
        <f>E27*F27</f>
        <v>5174650</v>
      </c>
    </row>
    <row r="28" spans="1:7" s="162" customFormat="1" ht="12.75">
      <c r="A28" s="444"/>
      <c r="B28" s="160" t="s">
        <v>633</v>
      </c>
      <c r="C28" s="160" t="s">
        <v>634</v>
      </c>
      <c r="D28" s="160" t="s">
        <v>370</v>
      </c>
      <c r="E28" s="1066"/>
      <c r="F28" s="1068"/>
      <c r="G28" s="164"/>
    </row>
    <row r="29" spans="1:7" s="162" customFormat="1" ht="12.75">
      <c r="A29" s="444"/>
      <c r="B29" s="160" t="s">
        <v>635</v>
      </c>
      <c r="C29" s="160" t="s">
        <v>636</v>
      </c>
      <c r="D29" s="160" t="s">
        <v>370</v>
      </c>
      <c r="E29" s="1066">
        <v>25000</v>
      </c>
      <c r="F29" s="1068">
        <v>2</v>
      </c>
      <c r="G29" s="164">
        <v>50000</v>
      </c>
    </row>
    <row r="30" spans="1:7" s="162" customFormat="1" ht="12.75">
      <c r="A30" s="444"/>
      <c r="B30" s="160" t="s">
        <v>637</v>
      </c>
      <c r="C30" s="160" t="s">
        <v>638</v>
      </c>
      <c r="D30" s="160" t="s">
        <v>370</v>
      </c>
      <c r="E30" s="1066"/>
      <c r="F30" s="1068"/>
      <c r="G30" s="164"/>
    </row>
    <row r="31" spans="1:7" s="162" customFormat="1" ht="12.75">
      <c r="A31" s="444"/>
      <c r="B31" s="160" t="s">
        <v>639</v>
      </c>
      <c r="C31" s="160" t="s">
        <v>640</v>
      </c>
      <c r="D31" s="160" t="s">
        <v>370</v>
      </c>
      <c r="E31" s="1066">
        <v>698160</v>
      </c>
      <c r="F31" s="1081">
        <v>55</v>
      </c>
      <c r="G31" s="164">
        <f>E31*F31</f>
        <v>38398800</v>
      </c>
    </row>
    <row r="32" spans="1:7" s="162" customFormat="1" ht="12.75">
      <c r="A32" s="444"/>
      <c r="B32" s="160" t="s">
        <v>641</v>
      </c>
      <c r="C32" s="160" t="s">
        <v>642</v>
      </c>
      <c r="D32" s="160" t="s">
        <v>375</v>
      </c>
      <c r="E32" s="1066">
        <v>5612200</v>
      </c>
      <c r="F32" s="1081">
        <v>6</v>
      </c>
      <c r="G32" s="164">
        <f>E32*F32</f>
        <v>33673200</v>
      </c>
    </row>
    <row r="33" spans="1:9" s="162" customFormat="1" ht="12.75">
      <c r="A33" s="444"/>
      <c r="B33" s="160" t="s">
        <v>643</v>
      </c>
      <c r="C33" s="160" t="s">
        <v>644</v>
      </c>
      <c r="D33" s="160" t="s">
        <v>370</v>
      </c>
      <c r="E33" s="1066">
        <v>318630</v>
      </c>
      <c r="F33" s="1081">
        <v>26</v>
      </c>
      <c r="G33" s="164">
        <f>E33*F33</f>
        <v>8284380</v>
      </c>
      <c r="I33" s="471"/>
    </row>
    <row r="34" spans="1:7" s="162" customFormat="1" ht="12.75">
      <c r="A34" s="444"/>
      <c r="B34" s="160"/>
      <c r="C34" s="160"/>
      <c r="D34" s="160"/>
      <c r="E34" s="1066"/>
      <c r="F34" s="1081"/>
      <c r="G34" s="164"/>
    </row>
    <row r="35" spans="1:7" s="162" customFormat="1" ht="12.75">
      <c r="A35" s="444"/>
      <c r="B35" s="160" t="s">
        <v>645</v>
      </c>
      <c r="C35" s="160" t="s">
        <v>646</v>
      </c>
      <c r="D35" s="160" t="s">
        <v>370</v>
      </c>
      <c r="E35" s="1066"/>
      <c r="F35" s="1068"/>
      <c r="G35" s="164"/>
    </row>
    <row r="36" spans="1:7" s="162" customFormat="1" ht="12.75">
      <c r="A36" s="444"/>
      <c r="B36" s="160" t="s">
        <v>647</v>
      </c>
      <c r="C36" s="160" t="s">
        <v>648</v>
      </c>
      <c r="D36" s="160" t="s">
        <v>370</v>
      </c>
      <c r="E36" s="1066">
        <v>6276200</v>
      </c>
      <c r="F36" s="1068">
        <v>4.7</v>
      </c>
      <c r="G36" s="164">
        <f>E36*F36+150</f>
        <v>29498290</v>
      </c>
    </row>
    <row r="37" spans="1:7" s="162" customFormat="1" ht="12.75">
      <c r="A37" s="444"/>
      <c r="B37" s="160" t="s">
        <v>649</v>
      </c>
      <c r="C37" s="160" t="s">
        <v>486</v>
      </c>
      <c r="D37" s="160" t="s">
        <v>368</v>
      </c>
      <c r="E37" s="1066"/>
      <c r="F37" s="1068"/>
      <c r="G37" s="164">
        <v>5572676</v>
      </c>
    </row>
    <row r="38" spans="1:7" s="468" customFormat="1" ht="12.75">
      <c r="A38" s="467"/>
      <c r="B38" s="160"/>
      <c r="C38" s="160"/>
      <c r="D38" s="160"/>
      <c r="E38" s="1073"/>
      <c r="F38" s="1073"/>
      <c r="G38" s="164"/>
    </row>
    <row r="39" spans="1:7" s="162" customFormat="1" ht="12.75">
      <c r="A39" s="444"/>
      <c r="B39" s="160" t="s">
        <v>650</v>
      </c>
      <c r="C39" s="160" t="s">
        <v>651</v>
      </c>
      <c r="D39" s="160" t="s">
        <v>370</v>
      </c>
      <c r="E39" s="1066">
        <v>6399900</v>
      </c>
      <c r="F39" s="1068">
        <v>44</v>
      </c>
      <c r="G39" s="164">
        <f>E39*F39</f>
        <v>281595600</v>
      </c>
    </row>
    <row r="40" spans="1:7" s="162" customFormat="1" ht="12.75">
      <c r="A40" s="444"/>
      <c r="B40" s="160" t="s">
        <v>652</v>
      </c>
      <c r="C40" s="160" t="s">
        <v>653</v>
      </c>
      <c r="D40" s="160" t="s">
        <v>368</v>
      </c>
      <c r="E40" s="1073"/>
      <c r="F40" s="1073"/>
      <c r="G40" s="164">
        <v>109174722</v>
      </c>
    </row>
    <row r="41" spans="1:7" s="162" customFormat="1" ht="12.75">
      <c r="A41" s="444"/>
      <c r="B41" s="166" t="s">
        <v>654</v>
      </c>
      <c r="C41" s="166" t="s">
        <v>655</v>
      </c>
      <c r="D41" s="166" t="s">
        <v>368</v>
      </c>
      <c r="E41" s="1075"/>
      <c r="F41" s="1075"/>
      <c r="G41" s="167">
        <f>SUM(G25:G40)</f>
        <v>573077668</v>
      </c>
    </row>
    <row r="42" spans="1:7" s="162" customFormat="1" ht="12.75">
      <c r="A42" s="444"/>
      <c r="B42" s="168"/>
      <c r="C42" s="168"/>
      <c r="D42" s="168"/>
      <c r="E42" s="1076"/>
      <c r="F42" s="1076"/>
      <c r="G42" s="593"/>
    </row>
    <row r="43" spans="1:7" s="162" customFormat="1" ht="12.75">
      <c r="A43" s="444"/>
      <c r="B43" s="160" t="s">
        <v>656</v>
      </c>
      <c r="C43" s="160" t="s">
        <v>657</v>
      </c>
      <c r="D43" s="160" t="s">
        <v>370</v>
      </c>
      <c r="E43" s="1066">
        <v>2961000</v>
      </c>
      <c r="F43" s="1068">
        <v>9.28</v>
      </c>
      <c r="G43" s="164">
        <f>E43*F43</f>
        <v>27478079.999999996</v>
      </c>
    </row>
    <row r="44" spans="1:7" s="162" customFormat="1" ht="12.75">
      <c r="A44" s="444"/>
      <c r="B44" s="160" t="s">
        <v>658</v>
      </c>
      <c r="C44" s="160" t="s">
        <v>659</v>
      </c>
      <c r="D44" s="160" t="s">
        <v>368</v>
      </c>
      <c r="E44" s="1073"/>
      <c r="F44" s="1073"/>
      <c r="G44" s="164">
        <v>54841433</v>
      </c>
    </row>
    <row r="45" spans="1:7" s="162" customFormat="1" ht="12.75">
      <c r="A45" s="444"/>
      <c r="B45" s="160" t="s">
        <v>660</v>
      </c>
      <c r="C45" s="160" t="s">
        <v>661</v>
      </c>
      <c r="D45" s="160" t="s">
        <v>662</v>
      </c>
      <c r="E45" s="1066">
        <v>285</v>
      </c>
      <c r="F45" s="1068">
        <v>515</v>
      </c>
      <c r="G45" s="164">
        <f>E45*F45</f>
        <v>146775</v>
      </c>
    </row>
    <row r="46" spans="1:7" s="162" customFormat="1" ht="12.75">
      <c r="A46" s="444"/>
      <c r="B46" s="166" t="s">
        <v>663</v>
      </c>
      <c r="C46" s="166" t="s">
        <v>664</v>
      </c>
      <c r="D46" s="166" t="s">
        <v>369</v>
      </c>
      <c r="E46" s="1075"/>
      <c r="F46" s="1075"/>
      <c r="G46" s="167">
        <f>SUM(G43:G45)</f>
        <v>82466288</v>
      </c>
    </row>
    <row r="47" spans="1:7" s="162" customFormat="1" ht="12.75" customHeight="1" hidden="1">
      <c r="A47" s="444"/>
      <c r="B47" s="168"/>
      <c r="C47" s="168"/>
      <c r="D47" s="168"/>
      <c r="E47" s="1076"/>
      <c r="F47" s="1076"/>
      <c r="G47" s="593"/>
    </row>
    <row r="48" spans="1:7" s="162" customFormat="1" ht="12.75">
      <c r="A48" s="444"/>
      <c r="B48" s="160" t="s">
        <v>665</v>
      </c>
      <c r="C48" s="160" t="s">
        <v>376</v>
      </c>
      <c r="D48" s="160" t="s">
        <v>368</v>
      </c>
      <c r="E48" s="1073"/>
      <c r="F48" s="1073"/>
      <c r="G48" s="164"/>
    </row>
    <row r="49" spans="1:7" s="162" customFormat="1" ht="12.75" customHeight="1">
      <c r="A49" s="444"/>
      <c r="B49" s="160" t="s">
        <v>666</v>
      </c>
      <c r="C49" s="160" t="s">
        <v>377</v>
      </c>
      <c r="D49" s="160" t="s">
        <v>368</v>
      </c>
      <c r="E49" s="1073">
        <v>2213</v>
      </c>
      <c r="F49" s="1073"/>
      <c r="G49" s="164">
        <v>12209121</v>
      </c>
    </row>
    <row r="50" spans="1:7" s="162" customFormat="1" ht="12.75" customHeight="1">
      <c r="A50" s="444"/>
      <c r="B50" s="160" t="s">
        <v>667</v>
      </c>
      <c r="C50" s="160" t="s">
        <v>378</v>
      </c>
      <c r="D50" s="160" t="s">
        <v>368</v>
      </c>
      <c r="E50" s="1073"/>
      <c r="F50" s="1073"/>
      <c r="G50" s="164"/>
    </row>
    <row r="51" spans="1:7" s="162" customFormat="1" ht="12.75" customHeight="1">
      <c r="A51" s="444"/>
      <c r="B51" s="160" t="s">
        <v>668</v>
      </c>
      <c r="C51" s="160" t="s">
        <v>379</v>
      </c>
      <c r="D51" s="160" t="s">
        <v>368</v>
      </c>
      <c r="E51" s="1073"/>
      <c r="F51" s="1073"/>
      <c r="G51" s="164"/>
    </row>
    <row r="52" spans="1:7" s="162" customFormat="1" ht="12.75">
      <c r="A52" s="444"/>
      <c r="B52" s="160" t="s">
        <v>669</v>
      </c>
      <c r="C52" s="160" t="s">
        <v>487</v>
      </c>
      <c r="D52" s="160" t="s">
        <v>368</v>
      </c>
      <c r="E52" s="1073"/>
      <c r="F52" s="1073"/>
      <c r="G52" s="164"/>
    </row>
    <row r="53" spans="1:7" s="162" customFormat="1" ht="12.75">
      <c r="A53" s="444"/>
      <c r="B53" s="160"/>
      <c r="C53" s="160" t="s">
        <v>866</v>
      </c>
      <c r="D53" s="160"/>
      <c r="E53" s="1073"/>
      <c r="F53" s="1073"/>
      <c r="G53" s="164">
        <v>3516119</v>
      </c>
    </row>
    <row r="54" spans="1:10" s="162" customFormat="1" ht="12.75">
      <c r="A54" s="444"/>
      <c r="B54" s="166" t="s">
        <v>670</v>
      </c>
      <c r="C54" s="166" t="s">
        <v>380</v>
      </c>
      <c r="D54" s="166" t="s">
        <v>368</v>
      </c>
      <c r="E54" s="1075"/>
      <c r="F54" s="1075"/>
      <c r="G54" s="167">
        <f>13690121+G53</f>
        <v>17206240</v>
      </c>
      <c r="J54" s="471"/>
    </row>
    <row r="55" spans="1:7" s="162" customFormat="1" ht="12.75">
      <c r="A55" s="444"/>
      <c r="B55" s="168"/>
      <c r="C55" s="168"/>
      <c r="D55" s="168"/>
      <c r="E55" s="1076"/>
      <c r="F55" s="1076"/>
      <c r="G55" s="593"/>
    </row>
    <row r="56" spans="1:7" s="162" customFormat="1" ht="12.75">
      <c r="A56" s="444"/>
      <c r="B56" s="594" t="s">
        <v>671</v>
      </c>
      <c r="C56" s="421" t="s">
        <v>485</v>
      </c>
      <c r="D56" s="422"/>
      <c r="E56" s="1077"/>
      <c r="F56" s="1077"/>
      <c r="G56" s="423">
        <v>10632884</v>
      </c>
    </row>
    <row r="57" spans="1:7" s="162" customFormat="1" ht="12.75">
      <c r="A57" s="444"/>
      <c r="B57" s="595"/>
      <c r="C57" s="168"/>
      <c r="D57" s="596"/>
      <c r="E57" s="1076"/>
      <c r="F57" s="1076"/>
      <c r="G57" s="593"/>
    </row>
    <row r="58" spans="1:8" s="162" customFormat="1" ht="12.75">
      <c r="A58" s="444"/>
      <c r="B58" s="425"/>
      <c r="C58" s="425" t="s">
        <v>402</v>
      </c>
      <c r="D58" s="425"/>
      <c r="E58" s="1078"/>
      <c r="F58" s="1078"/>
      <c r="G58" s="165">
        <f>G14+G21+G41+G46+G54+G56</f>
        <v>1067259285.6</v>
      </c>
      <c r="H58" s="471"/>
    </row>
    <row r="59" spans="1:8" s="162" customFormat="1" ht="12.75">
      <c r="A59" s="444"/>
      <c r="B59" s="168"/>
      <c r="C59" s="168"/>
      <c r="D59" s="168"/>
      <c r="E59" s="1076"/>
      <c r="F59" s="1076"/>
      <c r="G59" s="593"/>
      <c r="H59" s="471"/>
    </row>
    <row r="60" spans="2:8" ht="12.75">
      <c r="B60" s="597" t="s">
        <v>672</v>
      </c>
      <c r="C60" s="597" t="s">
        <v>673</v>
      </c>
      <c r="D60" s="597" t="s">
        <v>368</v>
      </c>
      <c r="E60" s="1079"/>
      <c r="F60" s="1079"/>
      <c r="G60" s="1080">
        <v>48434073</v>
      </c>
      <c r="H60" s="471"/>
    </row>
    <row r="61" ht="12.75">
      <c r="H61" s="471"/>
    </row>
    <row r="62" ht="12.75">
      <c r="H62" s="471"/>
    </row>
    <row r="63" spans="2:8" ht="12.75">
      <c r="B63" s="1131"/>
      <c r="C63" s="1131" t="s">
        <v>839</v>
      </c>
      <c r="D63" s="1131"/>
      <c r="E63" s="1131"/>
      <c r="F63" s="1131"/>
      <c r="G63" s="1131">
        <v>65158066</v>
      </c>
      <c r="H63" s="471"/>
    </row>
    <row r="64" spans="2:8" ht="12.75">
      <c r="B64" s="1131"/>
      <c r="C64" s="1131" t="s">
        <v>840</v>
      </c>
      <c r="D64" s="1131"/>
      <c r="E64" s="1131"/>
      <c r="F64" s="1131"/>
      <c r="G64" s="1131">
        <v>1738863</v>
      </c>
      <c r="H64" s="471"/>
    </row>
    <row r="65" spans="2:8" ht="12.75">
      <c r="B65" s="93"/>
      <c r="D65" s="93"/>
      <c r="E65" s="93"/>
      <c r="G65" s="93"/>
      <c r="H65" s="471"/>
    </row>
    <row r="66" spans="2:8" ht="25.5">
      <c r="B66" s="160"/>
      <c r="C66" s="1132" t="s">
        <v>841</v>
      </c>
      <c r="D66" s="160"/>
      <c r="E66" s="164"/>
      <c r="F66" s="1133"/>
      <c r="G66" s="164">
        <v>32101000</v>
      </c>
      <c r="H66" s="471"/>
    </row>
    <row r="67" spans="2:8" ht="12.75" customHeight="1">
      <c r="B67" s="1134"/>
      <c r="C67" s="1135" t="s">
        <v>842</v>
      </c>
      <c r="D67" s="160"/>
      <c r="E67" s="164"/>
      <c r="F67" s="1133"/>
      <c r="G67" s="164">
        <v>6817400</v>
      </c>
      <c r="H67" s="471"/>
    </row>
    <row r="68" spans="2:8" ht="12.75" customHeight="1">
      <c r="B68" s="1134"/>
      <c r="C68" s="1135"/>
      <c r="D68" s="160"/>
      <c r="E68" s="164"/>
      <c r="F68" s="1133"/>
      <c r="G68" s="164"/>
      <c r="H68" s="471"/>
    </row>
    <row r="69" spans="2:8" ht="12.75">
      <c r="B69" s="166"/>
      <c r="C69" s="166" t="s">
        <v>843</v>
      </c>
      <c r="D69" s="166" t="s">
        <v>369</v>
      </c>
      <c r="E69" s="167"/>
      <c r="F69" s="1136"/>
      <c r="G69" s="167">
        <f>SUM(G66:G68)</f>
        <v>38918400</v>
      </c>
      <c r="H69" s="471"/>
    </row>
    <row r="71" spans="2:7" ht="12.75">
      <c r="B71" s="1146"/>
      <c r="C71" s="1147" t="s">
        <v>896</v>
      </c>
      <c r="D71" s="1146"/>
      <c r="E71" s="1146"/>
      <c r="F71" s="1146"/>
      <c r="G71" s="1146">
        <v>34184582</v>
      </c>
    </row>
  </sheetData>
  <sheetProtection/>
  <mergeCells count="2">
    <mergeCell ref="A3:E3"/>
    <mergeCell ref="E4:G4"/>
  </mergeCells>
  <printOptions/>
  <pageMargins left="0.6692913385826772" right="0.2362204724409449" top="0.17" bottom="0.1968503937007874" header="0.17" footer="0.1968503937007874"/>
  <pageSetup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51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43.875" style="0" customWidth="1"/>
    <col min="2" max="3" width="14.00390625" style="0" bestFit="1" customWidth="1"/>
    <col min="4" max="4" width="6.00390625" style="0" bestFit="1" customWidth="1"/>
    <col min="5" max="5" width="8.375" style="0" bestFit="1" customWidth="1"/>
    <col min="6" max="6" width="8.75390625" style="0" bestFit="1" customWidth="1"/>
    <col min="7" max="7" width="8.375" style="0" bestFit="1" customWidth="1"/>
    <col min="8" max="8" width="7.875" style="0" bestFit="1" customWidth="1"/>
    <col min="9" max="9" width="8.375" style="0" bestFit="1" customWidth="1"/>
    <col min="10" max="11" width="9.625" style="0" bestFit="1" customWidth="1"/>
    <col min="12" max="13" width="10.875" style="0" bestFit="1" customWidth="1"/>
    <col min="14" max="15" width="9.625" style="0" bestFit="1" customWidth="1"/>
    <col min="16" max="16" width="9.25390625" style="0" customWidth="1"/>
    <col min="17" max="17" width="10.125" style="0" customWidth="1"/>
    <col min="18" max="18" width="12.75390625" style="0" customWidth="1"/>
    <col min="19" max="19" width="10.875" style="0" customWidth="1"/>
    <col min="20" max="21" width="10.875" style="0" bestFit="1" customWidth="1"/>
    <col min="22" max="23" width="8.75390625" style="0" bestFit="1" customWidth="1"/>
  </cols>
  <sheetData>
    <row r="1" spans="7:18" s="162" customFormat="1" ht="12.75">
      <c r="G1" s="247"/>
      <c r="I1" s="247"/>
      <c r="K1" s="247"/>
      <c r="M1" s="247"/>
      <c r="O1" s="247"/>
      <c r="Q1" s="247" t="s">
        <v>354</v>
      </c>
      <c r="R1" s="471" t="str">
        <f>'Áll.hj.'!B1</f>
        <v>melléklet a …/2024. (III.  .) önkormányzati rendelethez</v>
      </c>
    </row>
    <row r="2" s="162" customFormat="1" ht="12.75"/>
    <row r="3" spans="1:23" s="474" customFormat="1" ht="15">
      <c r="A3" s="1334" t="s">
        <v>733</v>
      </c>
      <c r="B3" s="1334"/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4"/>
      <c r="N3" s="1334"/>
      <c r="O3" s="1334"/>
      <c r="P3" s="1334"/>
      <c r="Q3" s="1334"/>
      <c r="R3" s="1334"/>
      <c r="S3" s="1334"/>
      <c r="T3" s="1334"/>
      <c r="U3" s="1334"/>
      <c r="V3" s="485"/>
      <c r="W3" s="485"/>
    </row>
    <row r="4" spans="1:23" s="162" customFormat="1" ht="13.5" thickBot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</row>
    <row r="5" spans="1:23" s="162" customFormat="1" ht="13.5" thickBot="1">
      <c r="A5" s="1339" t="s">
        <v>244</v>
      </c>
      <c r="B5" s="1340"/>
      <c r="C5" s="1340"/>
      <c r="D5" s="1340"/>
      <c r="E5" s="1341"/>
      <c r="F5" s="1329" t="s">
        <v>245</v>
      </c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1"/>
    </row>
    <row r="6" spans="1:23" s="162" customFormat="1" ht="12.75">
      <c r="A6" s="1335" t="s">
        <v>55</v>
      </c>
      <c r="B6" s="1327" t="s">
        <v>506</v>
      </c>
      <c r="C6" s="1328" t="s">
        <v>507</v>
      </c>
      <c r="D6" s="1342" t="s">
        <v>0</v>
      </c>
      <c r="E6" s="1343"/>
      <c r="F6" s="1333" t="s">
        <v>510</v>
      </c>
      <c r="G6" s="1332"/>
      <c r="H6" s="1332" t="s">
        <v>511</v>
      </c>
      <c r="I6" s="1332"/>
      <c r="J6" s="1332" t="s">
        <v>509</v>
      </c>
      <c r="K6" s="1332"/>
      <c r="L6" s="1332" t="s">
        <v>515</v>
      </c>
      <c r="M6" s="1332"/>
      <c r="N6" s="1332" t="s">
        <v>578</v>
      </c>
      <c r="O6" s="1332"/>
      <c r="P6" s="1332" t="s">
        <v>107</v>
      </c>
      <c r="Q6" s="1332"/>
      <c r="R6" s="1332" t="s">
        <v>253</v>
      </c>
      <c r="S6" s="1332"/>
      <c r="T6" s="1327" t="s">
        <v>252</v>
      </c>
      <c r="U6" s="1327"/>
      <c r="V6" s="1327" t="s">
        <v>514</v>
      </c>
      <c r="W6" s="1328"/>
    </row>
    <row r="7" spans="1:23" s="162" customFormat="1" ht="12.75">
      <c r="A7" s="1336"/>
      <c r="B7" s="1337"/>
      <c r="C7" s="1338"/>
      <c r="D7" s="477" t="s">
        <v>465</v>
      </c>
      <c r="E7" s="475" t="s">
        <v>466</v>
      </c>
      <c r="F7" s="477" t="s">
        <v>465</v>
      </c>
      <c r="G7" s="475" t="s">
        <v>466</v>
      </c>
      <c r="H7" s="475" t="s">
        <v>465</v>
      </c>
      <c r="I7" s="475" t="s">
        <v>466</v>
      </c>
      <c r="J7" s="475" t="s">
        <v>465</v>
      </c>
      <c r="K7" s="475" t="s">
        <v>466</v>
      </c>
      <c r="L7" s="475" t="s">
        <v>465</v>
      </c>
      <c r="M7" s="475" t="s">
        <v>466</v>
      </c>
      <c r="N7" s="475" t="s">
        <v>465</v>
      </c>
      <c r="O7" s="475" t="s">
        <v>466</v>
      </c>
      <c r="P7" s="475" t="s">
        <v>465</v>
      </c>
      <c r="Q7" s="475" t="s">
        <v>466</v>
      </c>
      <c r="R7" s="475" t="s">
        <v>465</v>
      </c>
      <c r="S7" s="475" t="s">
        <v>466</v>
      </c>
      <c r="T7" s="475" t="s">
        <v>465</v>
      </c>
      <c r="U7" s="475" t="s">
        <v>466</v>
      </c>
      <c r="V7" s="475" t="s">
        <v>465</v>
      </c>
      <c r="W7" s="478" t="s">
        <v>466</v>
      </c>
    </row>
    <row r="8" spans="1:23" s="481" customFormat="1" ht="12">
      <c r="A8" s="483" t="s">
        <v>897</v>
      </c>
      <c r="B8" s="480">
        <f aca="true" t="shared" si="0" ref="B8:C42">F8+H8+J8+L8+P8+R8+T8+V8+N8</f>
        <v>37721730</v>
      </c>
      <c r="C8" s="480">
        <f>G8+I8+K8+M8+Q8+S8+U8+W8+O8</f>
        <v>37721730</v>
      </c>
      <c r="D8" s="549"/>
      <c r="E8" s="549"/>
      <c r="F8" s="528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>
        <v>37721730</v>
      </c>
      <c r="W8" s="540">
        <v>37721730</v>
      </c>
    </row>
    <row r="9" spans="1:23" s="481" customFormat="1" ht="25.5">
      <c r="A9" s="461" t="s">
        <v>681</v>
      </c>
      <c r="B9" s="480">
        <f t="shared" si="0"/>
        <v>842422326</v>
      </c>
      <c r="C9" s="480">
        <f aca="true" t="shared" si="1" ref="C9:C44">G9+I9+K9+M9+Q9+S9+U9+W9+O9</f>
        <v>842422326</v>
      </c>
      <c r="D9" s="549"/>
      <c r="E9" s="549"/>
      <c r="F9" s="530"/>
      <c r="G9" s="531"/>
      <c r="H9" s="531"/>
      <c r="I9" s="531"/>
      <c r="J9" s="531">
        <v>178448240</v>
      </c>
      <c r="K9" s="539">
        <v>178448240</v>
      </c>
      <c r="L9" s="531"/>
      <c r="M9" s="531"/>
      <c r="N9" s="531"/>
      <c r="O9" s="531"/>
      <c r="P9" s="531"/>
      <c r="Q9" s="531"/>
      <c r="R9" s="531">
        <v>663974086</v>
      </c>
      <c r="S9" s="539">
        <v>663974086</v>
      </c>
      <c r="T9" s="532"/>
      <c r="U9" s="532"/>
      <c r="V9" s="532"/>
      <c r="W9" s="482"/>
    </row>
    <row r="10" spans="1:23" s="481" customFormat="1" ht="36">
      <c r="A10" s="483" t="s">
        <v>513</v>
      </c>
      <c r="B10" s="480">
        <f t="shared" si="0"/>
        <v>14167550</v>
      </c>
      <c r="C10" s="480">
        <f t="shared" si="1"/>
        <v>14167550</v>
      </c>
      <c r="D10" s="549"/>
      <c r="E10" s="549"/>
      <c r="F10" s="538">
        <v>150000</v>
      </c>
      <c r="G10" s="542">
        <v>150000</v>
      </c>
      <c r="H10" s="531">
        <v>17550</v>
      </c>
      <c r="I10" s="539">
        <v>17550</v>
      </c>
      <c r="J10" s="531"/>
      <c r="K10" s="539"/>
      <c r="L10" s="531"/>
      <c r="M10" s="531"/>
      <c r="N10" s="531">
        <v>14000000</v>
      </c>
      <c r="O10" s="539">
        <v>14000000</v>
      </c>
      <c r="P10" s="531"/>
      <c r="Q10" s="531"/>
      <c r="R10" s="531"/>
      <c r="S10" s="539"/>
      <c r="T10" s="532"/>
      <c r="U10" s="532"/>
      <c r="V10" s="532"/>
      <c r="W10" s="482"/>
    </row>
    <row r="11" spans="1:25" s="481" customFormat="1" ht="12" hidden="1">
      <c r="A11" s="483" t="s">
        <v>493</v>
      </c>
      <c r="B11" s="480">
        <f t="shared" si="0"/>
        <v>0</v>
      </c>
      <c r="C11" s="480">
        <f t="shared" si="1"/>
        <v>0</v>
      </c>
      <c r="D11" s="549"/>
      <c r="E11" s="549"/>
      <c r="F11" s="544"/>
      <c r="G11" s="54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2"/>
      <c r="U11" s="532"/>
      <c r="V11" s="532"/>
      <c r="W11" s="482"/>
      <c r="Y11" s="486"/>
    </row>
    <row r="12" spans="1:23" s="481" customFormat="1" ht="14.25" customHeight="1" hidden="1">
      <c r="A12" s="308"/>
      <c r="B12" s="480">
        <f t="shared" si="0"/>
        <v>0</v>
      </c>
      <c r="C12" s="480">
        <f t="shared" si="1"/>
        <v>0</v>
      </c>
      <c r="D12" s="549"/>
      <c r="E12" s="549"/>
      <c r="F12" s="534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2"/>
      <c r="U12" s="532"/>
      <c r="V12" s="532"/>
      <c r="W12" s="482"/>
    </row>
    <row r="13" spans="1:25" s="481" customFormat="1" ht="36.75" customHeight="1">
      <c r="A13" s="483" t="s">
        <v>516</v>
      </c>
      <c r="B13" s="480">
        <f t="shared" si="0"/>
        <v>18350000</v>
      </c>
      <c r="C13" s="480">
        <f t="shared" si="1"/>
        <v>18350000</v>
      </c>
      <c r="D13" s="549"/>
      <c r="E13" s="549"/>
      <c r="F13" s="536"/>
      <c r="G13" s="537"/>
      <c r="H13" s="537"/>
      <c r="I13" s="537"/>
      <c r="J13" s="537">
        <v>1350000</v>
      </c>
      <c r="K13" s="537">
        <v>1350000</v>
      </c>
      <c r="L13" s="537"/>
      <c r="M13" s="537"/>
      <c r="N13" s="537">
        <v>17000000</v>
      </c>
      <c r="O13" s="537">
        <v>17000000</v>
      </c>
      <c r="P13" s="537"/>
      <c r="Q13" s="537"/>
      <c r="R13" s="537"/>
      <c r="S13" s="537"/>
      <c r="T13" s="529"/>
      <c r="U13" s="529"/>
      <c r="V13" s="532"/>
      <c r="W13" s="482"/>
      <c r="Y13" s="486"/>
    </row>
    <row r="14" spans="1:25" s="481" customFormat="1" ht="12">
      <c r="A14" s="521" t="s">
        <v>683</v>
      </c>
      <c r="B14" s="480">
        <f t="shared" si="0"/>
        <v>6024700</v>
      </c>
      <c r="C14" s="480">
        <f t="shared" si="1"/>
        <v>6024700</v>
      </c>
      <c r="D14" s="549"/>
      <c r="E14" s="549"/>
      <c r="F14" s="536"/>
      <c r="G14" s="537"/>
      <c r="H14" s="537"/>
      <c r="I14" s="537"/>
      <c r="J14" s="537">
        <v>6024700</v>
      </c>
      <c r="K14" s="537">
        <v>6024700</v>
      </c>
      <c r="L14" s="537"/>
      <c r="M14" s="537"/>
      <c r="N14" s="537"/>
      <c r="O14" s="537"/>
      <c r="P14" s="537"/>
      <c r="Q14" s="537"/>
      <c r="R14" s="537"/>
      <c r="S14" s="537"/>
      <c r="T14" s="540"/>
      <c r="U14" s="540"/>
      <c r="V14" s="541"/>
      <c r="W14" s="527"/>
      <c r="Y14" s="486"/>
    </row>
    <row r="15" spans="1:25" s="481" customFormat="1" ht="25.5">
      <c r="A15" s="1087" t="s">
        <v>808</v>
      </c>
      <c r="B15" s="480">
        <f t="shared" si="0"/>
        <v>188542247</v>
      </c>
      <c r="C15" s="480">
        <f t="shared" si="1"/>
        <v>188542247</v>
      </c>
      <c r="D15" s="549"/>
      <c r="E15" s="549"/>
      <c r="F15" s="536"/>
      <c r="G15" s="537"/>
      <c r="H15" s="537"/>
      <c r="I15" s="537"/>
      <c r="J15" s="537">
        <v>7179897</v>
      </c>
      <c r="K15" s="537">
        <v>7179897</v>
      </c>
      <c r="L15" s="537"/>
      <c r="M15" s="537"/>
      <c r="N15" s="537"/>
      <c r="O15" s="537"/>
      <c r="P15" s="537"/>
      <c r="Q15" s="537"/>
      <c r="R15" s="537"/>
      <c r="S15" s="537"/>
      <c r="T15" s="540">
        <v>181362350</v>
      </c>
      <c r="U15" s="540">
        <v>181362350</v>
      </c>
      <c r="V15" s="541"/>
      <c r="W15" s="527"/>
      <c r="Y15" s="486"/>
    </row>
    <row r="16" spans="1:25" s="481" customFormat="1" ht="12.75">
      <c r="A16" s="466" t="s">
        <v>809</v>
      </c>
      <c r="B16" s="480">
        <f t="shared" si="0"/>
        <v>1151259961</v>
      </c>
      <c r="C16" s="480">
        <f t="shared" si="1"/>
        <v>1151259961</v>
      </c>
      <c r="D16" s="549"/>
      <c r="E16" s="549"/>
      <c r="F16" s="536"/>
      <c r="G16" s="537"/>
      <c r="H16" s="537"/>
      <c r="I16" s="537"/>
      <c r="J16" s="537">
        <v>247639182</v>
      </c>
      <c r="K16" s="537">
        <v>247639182</v>
      </c>
      <c r="L16" s="537"/>
      <c r="M16" s="537"/>
      <c r="N16" s="537"/>
      <c r="O16" s="537"/>
      <c r="P16" s="537"/>
      <c r="Q16" s="537"/>
      <c r="R16" s="537"/>
      <c r="S16" s="537"/>
      <c r="T16" s="540">
        <v>903620779</v>
      </c>
      <c r="U16" s="540">
        <v>903620779</v>
      </c>
      <c r="V16" s="541"/>
      <c r="W16" s="527"/>
      <c r="Y16" s="486"/>
    </row>
    <row r="17" spans="1:25" s="481" customFormat="1" ht="12">
      <c r="A17" s="483" t="s">
        <v>810</v>
      </c>
      <c r="B17" s="480">
        <f t="shared" si="0"/>
        <v>360114591</v>
      </c>
      <c r="C17" s="480">
        <f t="shared" si="1"/>
        <v>360114591</v>
      </c>
      <c r="D17" s="549"/>
      <c r="E17" s="549"/>
      <c r="F17" s="536"/>
      <c r="G17" s="537"/>
      <c r="H17" s="537"/>
      <c r="I17" s="537"/>
      <c r="J17" s="537">
        <v>101578825</v>
      </c>
      <c r="K17" s="537">
        <v>101578825</v>
      </c>
      <c r="L17" s="537"/>
      <c r="M17" s="537"/>
      <c r="N17" s="537"/>
      <c r="O17" s="537"/>
      <c r="P17" s="537"/>
      <c r="Q17" s="537"/>
      <c r="R17" s="537"/>
      <c r="S17" s="537"/>
      <c r="T17" s="540">
        <v>258535766</v>
      </c>
      <c r="U17" s="540">
        <v>258535766</v>
      </c>
      <c r="V17" s="541"/>
      <c r="W17" s="527"/>
      <c r="Y17" s="486"/>
    </row>
    <row r="18" spans="1:25" s="481" customFormat="1" ht="12">
      <c r="A18" s="520" t="s">
        <v>811</v>
      </c>
      <c r="B18" s="480">
        <f t="shared" si="0"/>
        <v>65100000</v>
      </c>
      <c r="C18" s="480">
        <f t="shared" si="1"/>
        <v>65100000</v>
      </c>
      <c r="D18" s="549"/>
      <c r="E18" s="549"/>
      <c r="F18" s="536"/>
      <c r="G18" s="537"/>
      <c r="H18" s="537"/>
      <c r="I18" s="537"/>
      <c r="J18" s="537"/>
      <c r="K18" s="537"/>
      <c r="L18" s="537"/>
      <c r="M18" s="537"/>
      <c r="N18" s="537"/>
      <c r="O18" s="537"/>
      <c r="P18" s="537">
        <v>65100000</v>
      </c>
      <c r="Q18" s="537">
        <v>65100000</v>
      </c>
      <c r="R18" s="537"/>
      <c r="S18" s="537"/>
      <c r="T18" s="540"/>
      <c r="U18" s="540"/>
      <c r="V18" s="541"/>
      <c r="W18" s="527"/>
      <c r="Y18" s="486"/>
    </row>
    <row r="19" spans="1:23" s="481" customFormat="1" ht="12">
      <c r="A19" s="483" t="s">
        <v>812</v>
      </c>
      <c r="B19" s="480">
        <f t="shared" si="0"/>
        <v>5715000</v>
      </c>
      <c r="C19" s="480">
        <f t="shared" si="1"/>
        <v>5715000</v>
      </c>
      <c r="D19" s="549"/>
      <c r="E19" s="54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29">
        <v>5715000</v>
      </c>
      <c r="S19" s="540">
        <v>5715000</v>
      </c>
      <c r="T19" s="532"/>
      <c r="U19" s="541"/>
      <c r="V19" s="532"/>
      <c r="W19" s="482"/>
    </row>
    <row r="20" spans="1:23" s="481" customFormat="1" ht="12">
      <c r="A20" s="483" t="s">
        <v>813</v>
      </c>
      <c r="B20" s="480">
        <f t="shared" si="0"/>
        <v>34600000</v>
      </c>
      <c r="C20" s="480">
        <f t="shared" si="0"/>
        <v>34600000</v>
      </c>
      <c r="D20" s="549"/>
      <c r="E20" s="549"/>
      <c r="F20" s="538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40">
        <v>34600000</v>
      </c>
      <c r="S20" s="540">
        <v>34600000</v>
      </c>
      <c r="T20" s="541"/>
      <c r="U20" s="541"/>
      <c r="V20" s="541"/>
      <c r="W20" s="527"/>
    </row>
    <row r="21" spans="1:23" s="481" customFormat="1" ht="12">
      <c r="A21" s="483" t="s">
        <v>817</v>
      </c>
      <c r="B21" s="480">
        <f t="shared" si="0"/>
        <v>931000</v>
      </c>
      <c r="C21" s="480">
        <f t="shared" si="0"/>
        <v>931000</v>
      </c>
      <c r="D21" s="549"/>
      <c r="E21" s="549"/>
      <c r="F21" s="538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40">
        <v>931000</v>
      </c>
      <c r="S21" s="540">
        <v>931000</v>
      </c>
      <c r="T21" s="541"/>
      <c r="U21" s="541"/>
      <c r="V21" s="541"/>
      <c r="W21" s="527"/>
    </row>
    <row r="22" spans="1:23" s="481" customFormat="1" ht="12">
      <c r="A22" s="483" t="s">
        <v>818</v>
      </c>
      <c r="B22" s="480">
        <f t="shared" si="0"/>
        <v>1000000</v>
      </c>
      <c r="C22" s="480">
        <f t="shared" si="0"/>
        <v>1000000</v>
      </c>
      <c r="D22" s="549"/>
      <c r="E22" s="549"/>
      <c r="F22" s="538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40">
        <v>1000000</v>
      </c>
      <c r="S22" s="540">
        <v>1000000</v>
      </c>
      <c r="T22" s="541"/>
      <c r="U22" s="541"/>
      <c r="V22" s="541"/>
      <c r="W22" s="527"/>
    </row>
    <row r="23" spans="1:23" s="481" customFormat="1" ht="12">
      <c r="A23" s="483" t="s">
        <v>819</v>
      </c>
      <c r="B23" s="480">
        <f t="shared" si="0"/>
        <v>763425</v>
      </c>
      <c r="C23" s="480">
        <f t="shared" si="0"/>
        <v>763425</v>
      </c>
      <c r="D23" s="549"/>
      <c r="E23" s="549"/>
      <c r="F23" s="538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40">
        <v>763425</v>
      </c>
      <c r="S23" s="540">
        <v>763425</v>
      </c>
      <c r="T23" s="541"/>
      <c r="U23" s="541"/>
      <c r="V23" s="541"/>
      <c r="W23" s="527"/>
    </row>
    <row r="24" spans="1:23" s="481" customFormat="1" ht="12">
      <c r="A24" s="483" t="s">
        <v>820</v>
      </c>
      <c r="B24" s="480">
        <f t="shared" si="0"/>
        <v>950000</v>
      </c>
      <c r="C24" s="480">
        <f t="shared" si="0"/>
        <v>950000</v>
      </c>
      <c r="D24" s="549"/>
      <c r="E24" s="549"/>
      <c r="F24" s="538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40">
        <v>950000</v>
      </c>
      <c r="S24" s="540">
        <v>950000</v>
      </c>
      <c r="T24" s="541"/>
      <c r="U24" s="541"/>
      <c r="V24" s="541"/>
      <c r="W24" s="527"/>
    </row>
    <row r="25" spans="1:23" s="481" customFormat="1" ht="12">
      <c r="A25" s="483" t="s">
        <v>821</v>
      </c>
      <c r="B25" s="480">
        <f t="shared" si="0"/>
        <v>6100000</v>
      </c>
      <c r="C25" s="480">
        <f t="shared" si="0"/>
        <v>6100000</v>
      </c>
      <c r="D25" s="549"/>
      <c r="E25" s="549"/>
      <c r="F25" s="538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40">
        <v>6100000</v>
      </c>
      <c r="S25" s="540">
        <v>6100000</v>
      </c>
      <c r="T25" s="541"/>
      <c r="U25" s="541"/>
      <c r="V25" s="541"/>
      <c r="W25" s="527"/>
    </row>
    <row r="26" spans="1:23" s="481" customFormat="1" ht="12">
      <c r="A26" s="483" t="s">
        <v>822</v>
      </c>
      <c r="B26" s="480">
        <f t="shared" si="0"/>
        <v>635000</v>
      </c>
      <c r="C26" s="480">
        <f t="shared" si="0"/>
        <v>635000</v>
      </c>
      <c r="D26" s="549"/>
      <c r="E26" s="549"/>
      <c r="F26" s="538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40">
        <v>635000</v>
      </c>
      <c r="S26" s="540">
        <v>635000</v>
      </c>
      <c r="T26" s="541"/>
      <c r="U26" s="541"/>
      <c r="V26" s="541"/>
      <c r="W26" s="527"/>
    </row>
    <row r="27" spans="1:23" s="481" customFormat="1" ht="12" hidden="1">
      <c r="A27" s="483"/>
      <c r="B27" s="480"/>
      <c r="C27" s="480"/>
      <c r="D27" s="549"/>
      <c r="E27" s="549"/>
      <c r="F27" s="538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40"/>
      <c r="S27" s="540"/>
      <c r="T27" s="541"/>
      <c r="U27" s="541"/>
      <c r="V27" s="541"/>
      <c r="W27" s="527"/>
    </row>
    <row r="28" spans="1:23" s="481" customFormat="1" ht="12">
      <c r="A28" s="483" t="s">
        <v>508</v>
      </c>
      <c r="B28" s="480">
        <f t="shared" si="0"/>
        <v>153652588</v>
      </c>
      <c r="C28" s="480">
        <f t="shared" si="1"/>
        <v>153652588</v>
      </c>
      <c r="D28" s="549"/>
      <c r="E28" s="549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29">
        <v>153652588</v>
      </c>
      <c r="U28" s="540">
        <v>153652588</v>
      </c>
      <c r="V28" s="532"/>
      <c r="W28" s="482"/>
    </row>
    <row r="29" spans="1:23" s="481" customFormat="1" ht="12">
      <c r="A29" s="483" t="s">
        <v>512</v>
      </c>
      <c r="B29" s="480">
        <f t="shared" si="0"/>
        <v>19050000</v>
      </c>
      <c r="C29" s="480">
        <f t="shared" si="1"/>
        <v>19050000</v>
      </c>
      <c r="D29" s="549"/>
      <c r="E29" s="549"/>
      <c r="F29" s="530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29">
        <v>19050000</v>
      </c>
      <c r="U29" s="540">
        <v>19050000</v>
      </c>
      <c r="V29" s="532"/>
      <c r="W29" s="482"/>
    </row>
    <row r="30" spans="1:23" s="481" customFormat="1" ht="12">
      <c r="A30" s="447" t="s">
        <v>815</v>
      </c>
      <c r="B30" s="480">
        <f t="shared" si="0"/>
        <v>800000</v>
      </c>
      <c r="C30" s="480">
        <f t="shared" si="1"/>
        <v>800000</v>
      </c>
      <c r="D30" s="549"/>
      <c r="E30" s="549"/>
      <c r="F30" s="538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40">
        <v>800000</v>
      </c>
      <c r="U30" s="540">
        <v>800000</v>
      </c>
      <c r="V30" s="541"/>
      <c r="W30" s="527"/>
    </row>
    <row r="31" spans="1:23" s="481" customFormat="1" ht="12">
      <c r="A31" s="483" t="s">
        <v>816</v>
      </c>
      <c r="B31" s="480">
        <f t="shared" si="0"/>
        <v>1138136</v>
      </c>
      <c r="C31" s="480">
        <f t="shared" si="1"/>
        <v>1138136</v>
      </c>
      <c r="D31" s="549"/>
      <c r="E31" s="549"/>
      <c r="F31" s="538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40">
        <v>1138136</v>
      </c>
      <c r="U31" s="540">
        <v>1138136</v>
      </c>
      <c r="V31" s="541"/>
      <c r="W31" s="527"/>
    </row>
    <row r="32" spans="1:23" s="481" customFormat="1" ht="12">
      <c r="A32" s="483" t="s">
        <v>747</v>
      </c>
      <c r="B32" s="480">
        <f t="shared" si="0"/>
        <v>949999</v>
      </c>
      <c r="C32" s="480">
        <f t="shared" si="1"/>
        <v>949999</v>
      </c>
      <c r="D32" s="549"/>
      <c r="E32" s="54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29"/>
      <c r="S32" s="529"/>
      <c r="T32" s="532">
        <v>949999</v>
      </c>
      <c r="U32" s="541">
        <v>949999</v>
      </c>
      <c r="V32" s="532"/>
      <c r="W32" s="482"/>
    </row>
    <row r="33" spans="1:23" s="481" customFormat="1" ht="12" hidden="1">
      <c r="A33" s="483"/>
      <c r="B33" s="480">
        <f t="shared" si="0"/>
        <v>0</v>
      </c>
      <c r="C33" s="480">
        <f t="shared" si="1"/>
        <v>0</v>
      </c>
      <c r="D33" s="549"/>
      <c r="E33" s="549"/>
      <c r="F33" s="538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40"/>
      <c r="S33" s="540"/>
      <c r="T33" s="541"/>
      <c r="U33" s="541"/>
      <c r="V33" s="541"/>
      <c r="W33" s="527"/>
    </row>
    <row r="34" spans="1:23" s="481" customFormat="1" ht="12">
      <c r="A34" s="483" t="s">
        <v>684</v>
      </c>
      <c r="B34" s="480">
        <f t="shared" si="0"/>
        <v>12700000</v>
      </c>
      <c r="C34" s="480">
        <f t="shared" si="1"/>
        <v>12700000</v>
      </c>
      <c r="D34" s="549"/>
      <c r="E34" s="549"/>
      <c r="F34" s="538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40"/>
      <c r="S34" s="540"/>
      <c r="T34" s="541">
        <v>12700000</v>
      </c>
      <c r="U34" s="541">
        <v>12700000</v>
      </c>
      <c r="V34" s="541"/>
      <c r="W34" s="527"/>
    </row>
    <row r="35" spans="1:23" s="481" customFormat="1" ht="12">
      <c r="A35" s="483" t="s">
        <v>814</v>
      </c>
      <c r="B35" s="480">
        <f t="shared" si="0"/>
        <v>3810000</v>
      </c>
      <c r="C35" s="480">
        <f t="shared" si="1"/>
        <v>3810000</v>
      </c>
      <c r="D35" s="549"/>
      <c r="E35" s="549"/>
      <c r="F35" s="538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40"/>
      <c r="S35" s="540"/>
      <c r="T35" s="541">
        <v>3810000</v>
      </c>
      <c r="U35" s="541">
        <v>3810000</v>
      </c>
      <c r="V35" s="541"/>
      <c r="W35" s="527"/>
    </row>
    <row r="36" spans="1:23" s="481" customFormat="1" ht="12">
      <c r="A36" s="483" t="s">
        <v>490</v>
      </c>
      <c r="B36" s="480">
        <f t="shared" si="0"/>
        <v>5000000</v>
      </c>
      <c r="C36" s="480">
        <f t="shared" si="1"/>
        <v>5000000</v>
      </c>
      <c r="D36" s="549"/>
      <c r="E36" s="549"/>
      <c r="F36" s="538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40"/>
      <c r="S36" s="540"/>
      <c r="T36" s="541">
        <v>5000000</v>
      </c>
      <c r="U36" s="541">
        <v>5000000</v>
      </c>
      <c r="V36" s="541"/>
      <c r="W36" s="527"/>
    </row>
    <row r="37" spans="1:23" s="481" customFormat="1" ht="12">
      <c r="A37" s="483" t="s">
        <v>824</v>
      </c>
      <c r="B37" s="480">
        <f t="shared" si="0"/>
        <v>1500000</v>
      </c>
      <c r="C37" s="480">
        <f t="shared" si="1"/>
        <v>1500000</v>
      </c>
      <c r="D37" s="549"/>
      <c r="E37" s="549"/>
      <c r="F37" s="538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40"/>
      <c r="S37" s="540"/>
      <c r="T37" s="541">
        <v>1500000</v>
      </c>
      <c r="U37" s="541">
        <v>1500000</v>
      </c>
      <c r="V37" s="541"/>
      <c r="W37" s="527"/>
    </row>
    <row r="38" spans="1:23" s="481" customFormat="1" ht="12">
      <c r="A38" s="483" t="s">
        <v>685</v>
      </c>
      <c r="B38" s="480">
        <f t="shared" si="0"/>
        <v>5000000</v>
      </c>
      <c r="C38" s="480">
        <f t="shared" si="1"/>
        <v>5000000</v>
      </c>
      <c r="D38" s="549"/>
      <c r="E38" s="549"/>
      <c r="F38" s="538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40"/>
      <c r="S38" s="540"/>
      <c r="T38" s="541">
        <v>5000000</v>
      </c>
      <c r="U38" s="541">
        <v>5000000</v>
      </c>
      <c r="V38" s="541"/>
      <c r="W38" s="527"/>
    </row>
    <row r="39" spans="1:23" s="481" customFormat="1" ht="12">
      <c r="A39" s="483" t="s">
        <v>823</v>
      </c>
      <c r="B39" s="480">
        <f t="shared" si="0"/>
        <v>2092685</v>
      </c>
      <c r="C39" s="480">
        <f t="shared" si="1"/>
        <v>2092685</v>
      </c>
      <c r="D39" s="549"/>
      <c r="E39" s="549"/>
      <c r="F39" s="530"/>
      <c r="G39" s="531"/>
      <c r="H39" s="531"/>
      <c r="I39" s="531"/>
      <c r="J39" s="529">
        <v>2092685</v>
      </c>
      <c r="K39" s="540">
        <v>2092685</v>
      </c>
      <c r="L39" s="531"/>
      <c r="M39" s="531"/>
      <c r="N39" s="531"/>
      <c r="O39" s="531"/>
      <c r="P39" s="531"/>
      <c r="Q39" s="531"/>
      <c r="R39" s="531"/>
      <c r="S39" s="531"/>
      <c r="T39" s="532"/>
      <c r="U39" s="532"/>
      <c r="V39" s="532"/>
      <c r="W39" s="482"/>
    </row>
    <row r="40" spans="1:23" s="481" customFormat="1" ht="12">
      <c r="A40" s="487" t="s">
        <v>878</v>
      </c>
      <c r="B40" s="480">
        <f t="shared" si="0"/>
        <v>0</v>
      </c>
      <c r="C40" s="480">
        <f t="shared" si="1"/>
        <v>460230</v>
      </c>
      <c r="D40" s="549"/>
      <c r="E40" s="549"/>
      <c r="F40" s="538"/>
      <c r="G40" s="539">
        <v>460230</v>
      </c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40"/>
      <c r="T40" s="541"/>
      <c r="U40" s="541"/>
      <c r="V40" s="541"/>
      <c r="W40" s="527"/>
    </row>
    <row r="41" spans="1:23" s="481" customFormat="1" ht="24">
      <c r="A41" s="487" t="s">
        <v>879</v>
      </c>
      <c r="B41" s="480">
        <f t="shared" si="0"/>
        <v>0</v>
      </c>
      <c r="C41" s="480">
        <f t="shared" si="1"/>
        <v>8116720</v>
      </c>
      <c r="D41" s="549"/>
      <c r="E41" s="549"/>
      <c r="F41" s="538"/>
      <c r="G41" s="539"/>
      <c r="H41" s="539"/>
      <c r="I41" s="539"/>
      <c r="J41" s="539"/>
      <c r="K41" s="539">
        <f>676117+544969+561857+6333777</f>
        <v>8116720</v>
      </c>
      <c r="L41" s="539"/>
      <c r="M41" s="539"/>
      <c r="N41" s="539"/>
      <c r="O41" s="539"/>
      <c r="P41" s="539"/>
      <c r="Q41" s="539"/>
      <c r="R41" s="539"/>
      <c r="S41" s="539"/>
      <c r="T41" s="541"/>
      <c r="U41" s="541"/>
      <c r="V41" s="541"/>
      <c r="W41" s="527"/>
    </row>
    <row r="42" spans="1:23" s="481" customFormat="1" ht="12">
      <c r="A42" s="487" t="s">
        <v>489</v>
      </c>
      <c r="B42" s="480">
        <f t="shared" si="0"/>
        <v>1000000</v>
      </c>
      <c r="C42" s="480">
        <f t="shared" si="1"/>
        <v>1000000</v>
      </c>
      <c r="D42" s="549"/>
      <c r="E42" s="549"/>
      <c r="F42" s="538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>
        <v>1000000</v>
      </c>
      <c r="S42" s="539">
        <v>1000000</v>
      </c>
      <c r="T42" s="541"/>
      <c r="U42" s="541"/>
      <c r="V42" s="541"/>
      <c r="W42" s="527"/>
    </row>
    <row r="43" spans="1:23" s="481" customFormat="1" ht="12">
      <c r="A43" s="487" t="s">
        <v>825</v>
      </c>
      <c r="B43" s="480">
        <f>F43+H43+J43+L43+P43+R43+T43+V43+N43</f>
        <v>102224659</v>
      </c>
      <c r="C43" s="480">
        <f t="shared" si="1"/>
        <v>102224659</v>
      </c>
      <c r="D43" s="549"/>
      <c r="E43" s="549"/>
      <c r="F43" s="538"/>
      <c r="G43" s="539"/>
      <c r="H43" s="539"/>
      <c r="I43" s="539"/>
      <c r="J43" s="539">
        <v>102224659</v>
      </c>
      <c r="K43" s="539">
        <v>102224659</v>
      </c>
      <c r="L43" s="539"/>
      <c r="M43" s="539"/>
      <c r="N43" s="539"/>
      <c r="O43" s="539"/>
      <c r="P43" s="539"/>
      <c r="Q43" s="539"/>
      <c r="R43" s="539"/>
      <c r="S43" s="539"/>
      <c r="T43" s="541"/>
      <c r="U43" s="541"/>
      <c r="V43" s="541"/>
      <c r="W43" s="527"/>
    </row>
    <row r="44" spans="1:23" s="481" customFormat="1" ht="12.75" thickBot="1">
      <c r="A44" s="487" t="s">
        <v>877</v>
      </c>
      <c r="B44" s="1058">
        <f>F44+H44+J44+L44+P44+R44+T44+V44+N44</f>
        <v>36684403</v>
      </c>
      <c r="C44" s="480">
        <f t="shared" si="1"/>
        <v>38667454</v>
      </c>
      <c r="D44" s="1059"/>
      <c r="E44" s="1059"/>
      <c r="F44" s="1060"/>
      <c r="G44" s="1061"/>
      <c r="H44" s="1061"/>
      <c r="I44" s="1061"/>
      <c r="J44" s="1061"/>
      <c r="K44" s="1061"/>
      <c r="L44" s="1061"/>
      <c r="M44" s="1058"/>
      <c r="N44" s="1061"/>
      <c r="O44" s="1058"/>
      <c r="P44" s="1061">
        <f>36684403</f>
        <v>36684403</v>
      </c>
      <c r="Q44" s="1061">
        <f>36684403+7683051-5700000</f>
        <v>38667454</v>
      </c>
      <c r="R44" s="1061"/>
      <c r="S44" s="1061"/>
      <c r="T44" s="1062"/>
      <c r="U44" s="1062"/>
      <c r="V44" s="1062"/>
      <c r="W44" s="1063"/>
    </row>
    <row r="45" spans="1:23" s="481" customFormat="1" ht="12.75" thickBot="1">
      <c r="A45" s="484" t="s">
        <v>71</v>
      </c>
      <c r="B45" s="550">
        <f aca="true" t="shared" si="2" ref="B45:W45">SUM(B8:B44)</f>
        <v>3080000000</v>
      </c>
      <c r="C45" s="551">
        <f t="shared" si="2"/>
        <v>3090560001</v>
      </c>
      <c r="D45" s="1064">
        <f t="shared" si="2"/>
        <v>0</v>
      </c>
      <c r="E45" s="1064">
        <f t="shared" si="2"/>
        <v>0</v>
      </c>
      <c r="F45" s="1064">
        <f t="shared" si="2"/>
        <v>150000</v>
      </c>
      <c r="G45" s="550">
        <f t="shared" si="2"/>
        <v>610230</v>
      </c>
      <c r="H45" s="550">
        <f t="shared" si="2"/>
        <v>17550</v>
      </c>
      <c r="I45" s="550">
        <f t="shared" si="2"/>
        <v>17550</v>
      </c>
      <c r="J45" s="550">
        <f t="shared" si="2"/>
        <v>646538188</v>
      </c>
      <c r="K45" s="550">
        <f t="shared" si="2"/>
        <v>654654908</v>
      </c>
      <c r="L45" s="550">
        <f t="shared" si="2"/>
        <v>0</v>
      </c>
      <c r="M45" s="550">
        <f t="shared" si="2"/>
        <v>0</v>
      </c>
      <c r="N45" s="550">
        <f t="shared" si="2"/>
        <v>31000000</v>
      </c>
      <c r="O45" s="550">
        <f t="shared" si="2"/>
        <v>31000000</v>
      </c>
      <c r="P45" s="550">
        <f t="shared" si="2"/>
        <v>101784403</v>
      </c>
      <c r="Q45" s="550">
        <f t="shared" si="2"/>
        <v>103767454</v>
      </c>
      <c r="R45" s="550">
        <f t="shared" si="2"/>
        <v>715668511</v>
      </c>
      <c r="S45" s="550">
        <f t="shared" si="2"/>
        <v>715668511</v>
      </c>
      <c r="T45" s="550">
        <f t="shared" si="2"/>
        <v>1547119618</v>
      </c>
      <c r="U45" s="550">
        <f t="shared" si="2"/>
        <v>1547119618</v>
      </c>
      <c r="V45" s="550">
        <f t="shared" si="2"/>
        <v>37721730</v>
      </c>
      <c r="W45" s="551">
        <f t="shared" si="2"/>
        <v>37721730</v>
      </c>
    </row>
    <row r="46" s="162" customFormat="1" ht="12.75"/>
    <row r="47" s="162" customFormat="1" ht="12.75">
      <c r="B47" s="471"/>
    </row>
    <row r="48" spans="2:18" s="476" customFormat="1" ht="12.75">
      <c r="B48" s="479"/>
      <c r="R48" s="479"/>
    </row>
    <row r="49" s="476" customFormat="1" ht="12.75">
      <c r="B49" s="479"/>
    </row>
    <row r="51" spans="2:3" ht="12.75">
      <c r="B51" s="192"/>
      <c r="C51" s="192"/>
    </row>
  </sheetData>
  <sheetProtection/>
  <mergeCells count="16">
    <mergeCell ref="L6:M6"/>
    <mergeCell ref="R6:S6"/>
    <mergeCell ref="T6:U6"/>
    <mergeCell ref="N6:O6"/>
    <mergeCell ref="A5:E5"/>
    <mergeCell ref="D6:E6"/>
    <mergeCell ref="V6:W6"/>
    <mergeCell ref="F5:W5"/>
    <mergeCell ref="P6:Q6"/>
    <mergeCell ref="F6:G6"/>
    <mergeCell ref="A3:U3"/>
    <mergeCell ref="A6:A7"/>
    <mergeCell ref="B6:B7"/>
    <mergeCell ref="C6:C7"/>
    <mergeCell ref="H6:I6"/>
    <mergeCell ref="J6:K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E26" sqref="E26:E28"/>
    </sheetView>
  </sheetViews>
  <sheetFormatPr defaultColWidth="9.00390625" defaultRowHeight="12.75"/>
  <cols>
    <col min="1" max="1" width="2.875" style="0" bestFit="1" customWidth="1"/>
    <col min="2" max="2" width="34.00390625" style="0" customWidth="1"/>
    <col min="3" max="3" width="2.25390625" style="0" customWidth="1"/>
    <col min="4" max="4" width="4.00390625" style="0" customWidth="1"/>
    <col min="5" max="6" width="15.25390625" style="0" customWidth="1"/>
    <col min="7" max="7" width="5.875" style="0" customWidth="1"/>
  </cols>
  <sheetData>
    <row r="1" spans="1:7" ht="15">
      <c r="A1" s="232" t="s">
        <v>407</v>
      </c>
      <c r="B1" s="302" t="s">
        <v>408</v>
      </c>
      <c r="C1" s="302"/>
      <c r="D1" s="302"/>
      <c r="E1" s="233">
        <f>mérl_!$C$34</f>
        <v>7793101647.6</v>
      </c>
      <c r="F1" s="302" t="s">
        <v>322</v>
      </c>
      <c r="G1" s="302"/>
    </row>
    <row r="2" spans="1:7" ht="15">
      <c r="A2" s="232" t="s">
        <v>409</v>
      </c>
      <c r="B2" s="302" t="s">
        <v>410</v>
      </c>
      <c r="C2" s="302"/>
      <c r="D2" s="302"/>
      <c r="E2" s="233">
        <f>mérl_!$F$34</f>
        <v>7793101648</v>
      </c>
      <c r="F2" s="302" t="s">
        <v>411</v>
      </c>
      <c r="G2" s="302"/>
    </row>
    <row r="3" spans="1:7" ht="24.75">
      <c r="A3" s="232" t="s">
        <v>412</v>
      </c>
      <c r="B3" s="298" t="s">
        <v>413</v>
      </c>
      <c r="C3" s="298"/>
      <c r="D3" s="298"/>
      <c r="E3" s="234">
        <f>mérl_!$C$22</f>
        <v>3452995009.6</v>
      </c>
      <c r="F3" s="302" t="s">
        <v>322</v>
      </c>
      <c r="G3" s="271"/>
    </row>
    <row r="4" spans="1:7" ht="15">
      <c r="A4" s="270"/>
      <c r="B4" s="297" t="s">
        <v>414</v>
      </c>
      <c r="C4" s="297"/>
      <c r="D4" s="297"/>
      <c r="E4" s="236"/>
      <c r="F4" s="300"/>
      <c r="G4" s="300"/>
    </row>
    <row r="5" spans="1:6" ht="15">
      <c r="A5" s="270"/>
      <c r="B5" s="297" t="s">
        <v>415</v>
      </c>
      <c r="C5" s="297"/>
      <c r="D5" s="297"/>
      <c r="E5" s="236">
        <f>m_mérl_!$C$20</f>
        <v>2288276773.6</v>
      </c>
      <c r="F5" s="297" t="s">
        <v>322</v>
      </c>
    </row>
    <row r="6" spans="1:6" ht="15">
      <c r="A6" s="270"/>
      <c r="B6" s="297" t="s">
        <v>416</v>
      </c>
      <c r="C6" s="297"/>
      <c r="D6" s="297"/>
      <c r="E6" s="236">
        <f>f_mérl_!$C$20</f>
        <v>1164718236</v>
      </c>
      <c r="F6" s="297" t="s">
        <v>322</v>
      </c>
    </row>
    <row r="7" spans="1:6" ht="15">
      <c r="A7" s="270"/>
      <c r="B7" s="297"/>
      <c r="C7" s="297"/>
      <c r="D7" s="297"/>
      <c r="E7" s="236"/>
      <c r="F7" s="300"/>
    </row>
    <row r="8" spans="1:6" ht="15">
      <c r="A8" s="270"/>
      <c r="B8" s="299" t="s">
        <v>417</v>
      </c>
      <c r="C8" s="299"/>
      <c r="D8" s="297"/>
      <c r="E8" s="301"/>
      <c r="F8" s="300"/>
    </row>
    <row r="9" spans="1:7" ht="15">
      <c r="A9" s="270"/>
      <c r="B9" s="297" t="s">
        <v>418</v>
      </c>
      <c r="C9" s="297"/>
      <c r="D9" s="297"/>
      <c r="E9" s="297"/>
      <c r="F9" s="236">
        <f>mérl_!$C$9</f>
        <v>1264670240.6</v>
      </c>
      <c r="G9" s="297" t="s">
        <v>322</v>
      </c>
    </row>
    <row r="10" spans="1:7" ht="15">
      <c r="A10" s="270"/>
      <c r="B10" s="297" t="s">
        <v>419</v>
      </c>
      <c r="C10" s="297"/>
      <c r="D10" s="297"/>
      <c r="E10" s="297"/>
      <c r="F10" s="236">
        <f>mérl_!$C$10</f>
        <v>1073495706</v>
      </c>
      <c r="G10" s="297" t="s">
        <v>322</v>
      </c>
    </row>
    <row r="11" spans="1:7" ht="15">
      <c r="A11" s="270"/>
      <c r="B11" s="297" t="s">
        <v>420</v>
      </c>
      <c r="C11" s="297"/>
      <c r="D11" s="297"/>
      <c r="E11" s="301"/>
      <c r="F11" s="236">
        <f>mérl_!$C$11</f>
        <v>522382745</v>
      </c>
      <c r="G11" s="297" t="s">
        <v>322</v>
      </c>
    </row>
    <row r="12" spans="1:7" ht="15">
      <c r="A12" s="270"/>
      <c r="B12" s="297" t="s">
        <v>421</v>
      </c>
      <c r="C12" s="297"/>
      <c r="D12" s="297"/>
      <c r="E12" s="301"/>
      <c r="F12" s="236">
        <f>mérl_!$C$12</f>
        <v>528123368</v>
      </c>
      <c r="G12" s="297" t="s">
        <v>322</v>
      </c>
    </row>
    <row r="13" spans="1:7" ht="15">
      <c r="A13" s="270"/>
      <c r="B13" s="297" t="s">
        <v>422</v>
      </c>
      <c r="C13" s="297"/>
      <c r="D13" s="297"/>
      <c r="E13" s="301"/>
      <c r="F13" s="236">
        <f>mérl_!$C$13</f>
        <v>593323</v>
      </c>
      <c r="G13" s="297" t="s">
        <v>322</v>
      </c>
    </row>
    <row r="14" spans="1:7" ht="15">
      <c r="A14" s="237"/>
      <c r="B14" s="297" t="s">
        <v>423</v>
      </c>
      <c r="C14" s="297"/>
      <c r="D14" s="238"/>
      <c r="E14" s="239"/>
      <c r="F14" s="236">
        <f>mérl_!$C$14</f>
        <v>400000</v>
      </c>
      <c r="G14" s="297" t="s">
        <v>322</v>
      </c>
    </row>
    <row r="15" spans="1:7" ht="15">
      <c r="A15" s="270"/>
      <c r="B15" s="297" t="s">
        <v>424</v>
      </c>
      <c r="C15" s="297"/>
      <c r="D15" s="297"/>
      <c r="E15" s="301"/>
      <c r="F15" s="236">
        <f>mérl_!$C$15</f>
        <v>63329627</v>
      </c>
      <c r="G15" s="297" t="s">
        <v>322</v>
      </c>
    </row>
    <row r="16" spans="1:7" ht="15">
      <c r="A16" s="270"/>
      <c r="B16" s="299"/>
      <c r="C16" s="299"/>
      <c r="D16" s="299"/>
      <c r="E16" s="240"/>
      <c r="F16" s="300"/>
      <c r="G16" s="300"/>
    </row>
    <row r="17" spans="1:7" ht="24.75">
      <c r="A17" s="232" t="s">
        <v>425</v>
      </c>
      <c r="B17" s="298" t="s">
        <v>426</v>
      </c>
      <c r="C17" s="298"/>
      <c r="D17" s="298"/>
      <c r="E17" s="234">
        <f>mérl_!$C$33</f>
        <v>4340106638</v>
      </c>
      <c r="F17" s="302" t="s">
        <v>322</v>
      </c>
      <c r="G17" s="271"/>
    </row>
    <row r="18" spans="1:7" ht="15">
      <c r="A18" s="270"/>
      <c r="B18" s="297" t="s">
        <v>414</v>
      </c>
      <c r="C18" s="297"/>
      <c r="D18" s="297"/>
      <c r="E18" s="236"/>
      <c r="F18" s="300"/>
      <c r="G18" s="300"/>
    </row>
    <row r="19" spans="1:7" ht="15">
      <c r="A19" s="270"/>
      <c r="B19" s="297" t="s">
        <v>427</v>
      </c>
      <c r="C19" s="297"/>
      <c r="D19" s="297"/>
      <c r="E19" s="236">
        <f>mérl_!$C$30</f>
        <v>4340106638</v>
      </c>
      <c r="F19" s="297" t="s">
        <v>322</v>
      </c>
      <c r="G19" s="297"/>
    </row>
    <row r="20" spans="1:7" ht="15">
      <c r="A20" s="270"/>
      <c r="B20" s="297" t="s">
        <v>428</v>
      </c>
      <c r="C20" s="297"/>
      <c r="D20" s="297"/>
      <c r="E20" s="236">
        <f>mérl_!$C$31*1000</f>
        <v>0</v>
      </c>
      <c r="F20" s="297" t="s">
        <v>322</v>
      </c>
      <c r="G20" s="297"/>
    </row>
    <row r="21" spans="1:7" ht="15">
      <c r="A21" s="270"/>
      <c r="B21" s="297" t="s">
        <v>429</v>
      </c>
      <c r="C21" s="297"/>
      <c r="D21" s="297"/>
      <c r="E21" s="236">
        <f>mérl_!$C$32*1000</f>
        <v>0</v>
      </c>
      <c r="F21" s="297" t="s">
        <v>322</v>
      </c>
      <c r="G21" s="297"/>
    </row>
    <row r="22" spans="1:7" ht="15">
      <c r="A22" s="237"/>
      <c r="B22" s="238"/>
      <c r="C22" s="297"/>
      <c r="D22" s="297"/>
      <c r="E22" s="239"/>
      <c r="F22" s="297"/>
      <c r="G22" s="297"/>
    </row>
    <row r="23" spans="1:7" ht="15">
      <c r="A23" s="270"/>
      <c r="B23" s="299" t="s">
        <v>430</v>
      </c>
      <c r="C23" s="299"/>
      <c r="D23" s="299"/>
      <c r="E23" s="301"/>
      <c r="F23" s="300"/>
      <c r="G23" s="300"/>
    </row>
    <row r="24" spans="1:8" ht="15">
      <c r="A24" s="237"/>
      <c r="B24" s="297" t="s">
        <v>431</v>
      </c>
      <c r="C24" s="299"/>
      <c r="D24" s="299"/>
      <c r="E24" s="295">
        <v>0</v>
      </c>
      <c r="F24" s="297" t="s">
        <v>322</v>
      </c>
      <c r="G24" s="297"/>
      <c r="H24" s="269"/>
    </row>
    <row r="25" spans="1:8" ht="15">
      <c r="A25" s="237"/>
      <c r="B25" s="297" t="s">
        <v>432</v>
      </c>
      <c r="C25" s="299"/>
      <c r="D25" s="299"/>
      <c r="E25" s="295">
        <f>mérl_!C29*1000</f>
        <v>0</v>
      </c>
      <c r="F25" s="297" t="s">
        <v>322</v>
      </c>
      <c r="G25" s="297"/>
      <c r="H25" s="269"/>
    </row>
    <row r="26" spans="1:8" ht="15">
      <c r="A26" s="270"/>
      <c r="B26" s="297" t="s">
        <v>433</v>
      </c>
      <c r="C26" s="297"/>
      <c r="D26" s="297"/>
      <c r="E26" s="295">
        <f>mérl_!C25</f>
        <v>3090560001</v>
      </c>
      <c r="F26" s="297" t="s">
        <v>322</v>
      </c>
      <c r="G26" s="297"/>
      <c r="H26" s="269"/>
    </row>
    <row r="27" spans="1:8" ht="15">
      <c r="A27" s="270"/>
      <c r="B27" s="297" t="str">
        <f>'bev-int'!A35</f>
        <v>ÁH belüli megelőlegezések</v>
      </c>
      <c r="C27" s="297"/>
      <c r="D27" s="297"/>
      <c r="E27" s="295">
        <f>'bev-int'!C35</f>
        <v>43500865</v>
      </c>
      <c r="F27" s="297"/>
      <c r="G27" s="297"/>
      <c r="H27" s="297"/>
    </row>
    <row r="28" spans="1:8" ht="15">
      <c r="A28" s="270"/>
      <c r="B28" s="297" t="s">
        <v>434</v>
      </c>
      <c r="C28" s="297"/>
      <c r="D28" s="297"/>
      <c r="E28" s="295">
        <f>mérl_!C28</f>
        <v>1206045772</v>
      </c>
      <c r="F28" s="297" t="s">
        <v>322</v>
      </c>
      <c r="G28" s="297"/>
      <c r="H28" s="269"/>
    </row>
    <row r="29" spans="1:7" ht="15">
      <c r="A29" s="237"/>
      <c r="B29" s="297"/>
      <c r="C29" s="297"/>
      <c r="D29" s="297"/>
      <c r="E29" s="301"/>
      <c r="F29" s="301"/>
      <c r="G29" s="301"/>
    </row>
    <row r="30" spans="1:7" ht="24.75">
      <c r="A30" s="232" t="s">
        <v>435</v>
      </c>
      <c r="B30" s="298" t="s">
        <v>436</v>
      </c>
      <c r="C30" s="298"/>
      <c r="D30" s="298"/>
      <c r="E30" s="234">
        <f>mérl_!$F$22</f>
        <v>6548851797</v>
      </c>
      <c r="F30" s="302" t="s">
        <v>322</v>
      </c>
      <c r="G30" s="271"/>
    </row>
    <row r="31" spans="1:7" ht="15">
      <c r="A31" s="270"/>
      <c r="B31" s="297" t="s">
        <v>414</v>
      </c>
      <c r="C31" s="297"/>
      <c r="D31" s="297"/>
      <c r="E31" s="236"/>
      <c r="F31" s="300"/>
      <c r="G31" s="300"/>
    </row>
    <row r="32" spans="1:7" ht="15">
      <c r="A32" s="270"/>
      <c r="B32" s="297" t="s">
        <v>437</v>
      </c>
      <c r="C32" s="297"/>
      <c r="D32" s="297"/>
      <c r="E32" s="236">
        <f>m_mérl_!$F$20</f>
        <v>3101795688</v>
      </c>
      <c r="F32" s="297" t="s">
        <v>322</v>
      </c>
      <c r="G32" s="300"/>
    </row>
    <row r="33" spans="1:7" ht="15">
      <c r="A33" s="237"/>
      <c r="B33" s="297" t="s">
        <v>438</v>
      </c>
      <c r="C33" s="297"/>
      <c r="D33" s="297"/>
      <c r="E33" s="236"/>
      <c r="F33" s="297"/>
      <c r="G33" s="300"/>
    </row>
    <row r="34" spans="1:7" ht="15">
      <c r="A34" s="270"/>
      <c r="B34" s="297" t="s">
        <v>439</v>
      </c>
      <c r="C34" s="297"/>
      <c r="D34" s="297"/>
      <c r="E34" s="236"/>
      <c r="F34" s="236">
        <f>mérl_!$F$9</f>
        <v>960707200</v>
      </c>
      <c r="G34" s="297" t="s">
        <v>322</v>
      </c>
    </row>
    <row r="35" spans="1:7" ht="15">
      <c r="A35" s="270"/>
      <c r="B35" s="297" t="s">
        <v>440</v>
      </c>
      <c r="C35" s="297"/>
      <c r="D35" s="299"/>
      <c r="E35" s="241"/>
      <c r="F35" s="236">
        <f>mérl_!$F$10</f>
        <v>137903789</v>
      </c>
      <c r="G35" s="297" t="s">
        <v>322</v>
      </c>
    </row>
    <row r="36" spans="1:7" ht="15">
      <c r="A36" s="237"/>
      <c r="B36" s="297" t="s">
        <v>441</v>
      </c>
      <c r="C36" s="297"/>
      <c r="D36" s="297"/>
      <c r="E36" s="236"/>
      <c r="F36" s="236">
        <f>(mérl_!$F$11+mérl_!$F$12+mérl_!$F$13+mérl_!$F$14+mérl_!$F$15)</f>
        <v>1399664112</v>
      </c>
      <c r="G36" s="297" t="s">
        <v>322</v>
      </c>
    </row>
    <row r="37" spans="1:7" ht="15">
      <c r="A37" s="237"/>
      <c r="B37" s="297" t="s">
        <v>442</v>
      </c>
      <c r="C37" s="297"/>
      <c r="D37" s="297"/>
      <c r="E37" s="236"/>
      <c r="F37" s="236">
        <f>mérl_!$F$16</f>
        <v>6840637</v>
      </c>
      <c r="G37" s="297" t="s">
        <v>322</v>
      </c>
    </row>
    <row r="38" spans="1:7" ht="15">
      <c r="A38" s="237"/>
      <c r="B38" s="297" t="s">
        <v>443</v>
      </c>
      <c r="C38" s="297"/>
      <c r="D38" s="297"/>
      <c r="E38" s="236"/>
      <c r="F38" s="236">
        <f>mérl_!$F$17</f>
        <v>661779950</v>
      </c>
      <c r="G38" s="297" t="s">
        <v>322</v>
      </c>
    </row>
    <row r="39" spans="1:7" ht="15">
      <c r="A39" s="237"/>
      <c r="B39" s="236" t="s">
        <v>590</v>
      </c>
      <c r="C39" s="297"/>
      <c r="D39" s="297"/>
      <c r="E39" s="236"/>
      <c r="F39" s="236">
        <f>m_mérl_!F18</f>
        <v>323699279</v>
      </c>
      <c r="G39" s="297" t="s">
        <v>322</v>
      </c>
    </row>
    <row r="40" spans="1:7" ht="15">
      <c r="A40" s="237"/>
      <c r="B40" s="297" t="s">
        <v>444</v>
      </c>
      <c r="C40" s="297"/>
      <c r="D40" s="297"/>
      <c r="E40" s="236">
        <f>f_mérl_!$F$20</f>
        <v>3447056109</v>
      </c>
      <c r="F40" s="297" t="s">
        <v>322</v>
      </c>
      <c r="G40" s="300"/>
    </row>
    <row r="41" spans="1:7" ht="15">
      <c r="A41" s="237"/>
      <c r="B41" s="297" t="s">
        <v>438</v>
      </c>
      <c r="C41" s="297"/>
      <c r="D41" s="297"/>
      <c r="E41" s="301"/>
      <c r="F41" s="300"/>
      <c r="G41" s="300"/>
    </row>
    <row r="42" spans="1:7" ht="15">
      <c r="A42" s="237"/>
      <c r="B42" s="297" t="s">
        <v>445</v>
      </c>
      <c r="C42" s="297"/>
      <c r="D42" s="297"/>
      <c r="E42" s="301"/>
      <c r="F42" s="236">
        <f>f_mérl_!$F$9</f>
        <v>1233006384</v>
      </c>
      <c r="G42" s="297" t="s">
        <v>322</v>
      </c>
    </row>
    <row r="43" spans="1:7" ht="15">
      <c r="A43" s="237"/>
      <c r="B43" s="297" t="s">
        <v>446</v>
      </c>
      <c r="C43" s="299"/>
      <c r="D43" s="299"/>
      <c r="E43" s="240"/>
      <c r="F43" s="236">
        <f>f_mérl_!$F$10</f>
        <v>2114569725</v>
      </c>
      <c r="G43" s="297" t="s">
        <v>322</v>
      </c>
    </row>
    <row r="44" spans="1:7" ht="15">
      <c r="A44" s="270"/>
      <c r="B44" s="297" t="s">
        <v>447</v>
      </c>
      <c r="C44" s="297"/>
      <c r="D44" s="297"/>
      <c r="E44" s="301"/>
      <c r="F44" s="236">
        <f>f_mérl_!$F$11</f>
        <v>34380000</v>
      </c>
      <c r="G44" s="297" t="s">
        <v>322</v>
      </c>
    </row>
    <row r="45" spans="1:7" ht="15">
      <c r="A45" s="270"/>
      <c r="B45" s="301" t="s">
        <v>591</v>
      </c>
      <c r="C45" s="297"/>
      <c r="D45" s="297"/>
      <c r="E45" s="301"/>
      <c r="F45" s="236">
        <f>f_mérl_!F12</f>
        <v>65100000</v>
      </c>
      <c r="G45" s="297" t="s">
        <v>322</v>
      </c>
    </row>
    <row r="46" spans="1:7" ht="15">
      <c r="A46" s="270"/>
      <c r="B46" s="297"/>
      <c r="C46" s="297"/>
      <c r="D46" s="297"/>
      <c r="E46" s="301"/>
      <c r="F46" s="300"/>
      <c r="G46" s="300"/>
    </row>
    <row r="47" spans="1:7" ht="24.75">
      <c r="A47" s="232" t="s">
        <v>448</v>
      </c>
      <c r="B47" s="298" t="s">
        <v>449</v>
      </c>
      <c r="C47" s="298"/>
      <c r="D47" s="298"/>
      <c r="E47" s="234">
        <f>mérl_!$F$33</f>
        <v>1244249851</v>
      </c>
      <c r="F47" s="302" t="s">
        <v>322</v>
      </c>
      <c r="G47" s="271"/>
    </row>
    <row r="48" spans="1:7" ht="15">
      <c r="A48" s="270"/>
      <c r="B48" s="297" t="s">
        <v>414</v>
      </c>
      <c r="C48" s="297"/>
      <c r="D48" s="297"/>
      <c r="E48" s="236"/>
      <c r="F48" s="300"/>
      <c r="G48" s="297"/>
    </row>
    <row r="49" spans="1:7" ht="15">
      <c r="A49" s="270"/>
      <c r="B49" s="297" t="s">
        <v>450</v>
      </c>
      <c r="C49" s="297"/>
      <c r="D49" s="297"/>
      <c r="E49" s="236">
        <f>mérl_!$F$30</f>
        <v>1244249851</v>
      </c>
      <c r="F49" s="297" t="s">
        <v>322</v>
      </c>
      <c r="G49" s="300"/>
    </row>
    <row r="50" spans="1:7" ht="15">
      <c r="A50" s="270"/>
      <c r="B50" s="297" t="s">
        <v>451</v>
      </c>
      <c r="C50" s="297"/>
      <c r="D50" s="297"/>
      <c r="E50" s="301"/>
      <c r="F50" s="236">
        <f>mérl_!$F$27</f>
        <v>1206045772</v>
      </c>
      <c r="G50" s="297" t="s">
        <v>322</v>
      </c>
    </row>
    <row r="51" spans="1:7" ht="15">
      <c r="A51" s="270"/>
      <c r="B51" s="242" t="s">
        <v>452</v>
      </c>
      <c r="C51" s="297"/>
      <c r="D51" s="297"/>
      <c r="E51" s="301"/>
      <c r="F51" s="236">
        <f>mérl_!$F$26</f>
        <v>38204079</v>
      </c>
      <c r="G51" s="297" t="s">
        <v>322</v>
      </c>
    </row>
    <row r="52" spans="1:7" ht="15">
      <c r="A52" s="270"/>
      <c r="B52" s="242" t="s">
        <v>453</v>
      </c>
      <c r="C52" s="297"/>
      <c r="D52" s="297"/>
      <c r="E52" s="301"/>
      <c r="F52" s="236">
        <v>0</v>
      </c>
      <c r="G52" s="297" t="s">
        <v>322</v>
      </c>
    </row>
    <row r="53" spans="1:7" ht="15">
      <c r="A53" s="270"/>
      <c r="B53" s="297" t="s">
        <v>454</v>
      </c>
      <c r="C53" s="297"/>
      <c r="D53" s="297"/>
      <c r="E53" s="243">
        <f>mérl_!$F$31*1000</f>
        <v>0</v>
      </c>
      <c r="F53" s="297" t="s">
        <v>322</v>
      </c>
      <c r="G53" s="297"/>
    </row>
    <row r="54" spans="1:7" ht="15">
      <c r="A54" s="270"/>
      <c r="B54" s="297" t="s">
        <v>455</v>
      </c>
      <c r="C54" s="297"/>
      <c r="D54" s="297"/>
      <c r="E54" s="243">
        <f>mérl_!$F$32*1000</f>
        <v>0</v>
      </c>
      <c r="F54" s="297" t="s">
        <v>322</v>
      </c>
      <c r="G54" s="297"/>
    </row>
    <row r="55" spans="1:7" ht="15">
      <c r="A55" s="237"/>
      <c r="B55" s="244"/>
      <c r="C55" s="235"/>
      <c r="D55" s="235"/>
      <c r="E55" s="245"/>
      <c r="F55" s="235"/>
      <c r="G55" s="27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zoomScalePageLayoutView="0" workbookViewId="0" topLeftCell="A1">
      <selection activeCell="J48" sqref="J48"/>
    </sheetView>
  </sheetViews>
  <sheetFormatPr defaultColWidth="9.00390625" defaultRowHeight="12.75"/>
  <cols>
    <col min="1" max="1" width="9.125" style="2" customWidth="1"/>
    <col min="2" max="2" width="42.625" style="2" customWidth="1"/>
    <col min="3" max="4" width="11.25390625" style="2" customWidth="1"/>
    <col min="5" max="5" width="12.125" style="2" bestFit="1" customWidth="1"/>
    <col min="6" max="6" width="12.125" style="2" customWidth="1"/>
    <col min="7" max="8" width="12.375" style="2" customWidth="1"/>
    <col min="9" max="16384" width="9.125" style="2" customWidth="1"/>
  </cols>
  <sheetData>
    <row r="1" spans="1:2" ht="12.75">
      <c r="A1" s="1" t="s">
        <v>95</v>
      </c>
      <c r="B1" s="2" t="str">
        <f>'bev-int'!B1</f>
        <v>melléklet a …/2024. (III.  .) önkormányzati rendelethez</v>
      </c>
    </row>
    <row r="2" ht="12.75">
      <c r="A2" s="1"/>
    </row>
    <row r="3" ht="12.75">
      <c r="A3" s="1"/>
    </row>
    <row r="4" spans="2:8" ht="12.75">
      <c r="B4" s="1161" t="s">
        <v>708</v>
      </c>
      <c r="C4" s="1161"/>
      <c r="D4" s="1161"/>
      <c r="E4" s="1161"/>
      <c r="F4" s="1161"/>
      <c r="G4" s="1161"/>
      <c r="H4" s="1161"/>
    </row>
    <row r="5" spans="2:8" ht="12.75">
      <c r="B5" s="1162" t="s">
        <v>68</v>
      </c>
      <c r="C5" s="1162"/>
      <c r="D5" s="1162"/>
      <c r="E5" s="1162"/>
      <c r="F5" s="1162"/>
      <c r="G5" s="1162"/>
      <c r="H5" s="1162"/>
    </row>
    <row r="6" spans="2:8" ht="12" customHeight="1">
      <c r="B6" s="90"/>
      <c r="C6" s="90"/>
      <c r="D6" s="91"/>
      <c r="E6" s="91"/>
      <c r="F6" s="91"/>
      <c r="G6" s="91"/>
      <c r="H6" s="91"/>
    </row>
    <row r="7" spans="2:8" ht="14.25" customHeight="1">
      <c r="B7" s="90"/>
      <c r="C7" s="90"/>
      <c r="D7" s="91"/>
      <c r="E7" s="91"/>
      <c r="F7" s="91"/>
      <c r="G7" s="91"/>
      <c r="H7" s="91"/>
    </row>
    <row r="8" spans="4:8" ht="14.25" customHeight="1" thickBot="1">
      <c r="D8" s="91"/>
      <c r="E8" s="91"/>
      <c r="F8" s="91"/>
      <c r="G8" s="585"/>
      <c r="H8" s="585" t="s">
        <v>322</v>
      </c>
    </row>
    <row r="9" spans="2:8" ht="30.75" customHeight="1">
      <c r="B9" s="1163" t="s">
        <v>69</v>
      </c>
      <c r="C9" s="1163" t="s">
        <v>257</v>
      </c>
      <c r="D9" s="1166"/>
      <c r="E9" s="1168" t="s">
        <v>401</v>
      </c>
      <c r="F9" s="1169"/>
      <c r="G9" s="1172" t="s">
        <v>402</v>
      </c>
      <c r="H9" s="1173"/>
    </row>
    <row r="10" spans="2:8" ht="13.5" thickBot="1">
      <c r="B10" s="1164"/>
      <c r="C10" s="1165"/>
      <c r="D10" s="1167"/>
      <c r="E10" s="1170"/>
      <c r="F10" s="1171"/>
      <c r="G10" s="1174"/>
      <c r="H10" s="1175"/>
    </row>
    <row r="11" spans="2:8" ht="13.5" thickBot="1">
      <c r="B11" s="1165"/>
      <c r="C11" s="584" t="s">
        <v>465</v>
      </c>
      <c r="D11" s="580" t="s">
        <v>466</v>
      </c>
      <c r="E11" s="1102" t="s">
        <v>465</v>
      </c>
      <c r="F11" s="1118" t="s">
        <v>466</v>
      </c>
      <c r="G11" s="766" t="s">
        <v>465</v>
      </c>
      <c r="H11" s="580" t="s">
        <v>466</v>
      </c>
    </row>
    <row r="12" spans="2:8" ht="12.75" hidden="1">
      <c r="B12" s="583" t="s">
        <v>163</v>
      </c>
      <c r="C12" s="739"/>
      <c r="D12" s="740"/>
      <c r="E12" s="1103"/>
      <c r="F12" s="1119"/>
      <c r="G12" s="760"/>
      <c r="H12" s="740"/>
    </row>
    <row r="13" spans="2:8" ht="12.75" hidden="1">
      <c r="B13" s="489" t="s">
        <v>164</v>
      </c>
      <c r="C13" s="741"/>
      <c r="D13" s="742">
        <v>0</v>
      </c>
      <c r="E13" s="1104"/>
      <c r="F13" s="1120"/>
      <c r="G13" s="761"/>
      <c r="H13" s="742">
        <v>0</v>
      </c>
    </row>
    <row r="14" spans="2:8" ht="12.75" hidden="1">
      <c r="B14" s="490" t="s">
        <v>236</v>
      </c>
      <c r="C14" s="743">
        <f aca="true" t="shared" si="0" ref="C14:H14">SUM(C12:C13)</f>
        <v>0</v>
      </c>
      <c r="D14" s="744">
        <f t="shared" si="0"/>
        <v>0</v>
      </c>
      <c r="E14" s="1105">
        <f t="shared" si="0"/>
        <v>0</v>
      </c>
      <c r="F14" s="1121">
        <f t="shared" si="0"/>
        <v>0</v>
      </c>
      <c r="G14" s="762">
        <f t="shared" si="0"/>
        <v>0</v>
      </c>
      <c r="H14" s="744">
        <f t="shared" si="0"/>
        <v>0</v>
      </c>
    </row>
    <row r="15" spans="2:8" s="18" customFormat="1" ht="12.75" hidden="1">
      <c r="B15" s="490" t="s">
        <v>346</v>
      </c>
      <c r="C15" s="743"/>
      <c r="D15" s="744"/>
      <c r="E15" s="1105"/>
      <c r="F15" s="1121"/>
      <c r="G15" s="762"/>
      <c r="H15" s="744"/>
    </row>
    <row r="16" spans="2:8" ht="12.75" hidden="1">
      <c r="B16" s="489" t="s">
        <v>270</v>
      </c>
      <c r="C16" s="741"/>
      <c r="D16" s="742"/>
      <c r="E16" s="1104"/>
      <c r="F16" s="1120"/>
      <c r="G16" s="761"/>
      <c r="H16" s="742"/>
    </row>
    <row r="17" spans="2:8" ht="12.75" hidden="1">
      <c r="B17" s="489" t="s">
        <v>269</v>
      </c>
      <c r="C17" s="741"/>
      <c r="D17" s="742"/>
      <c r="E17" s="1104"/>
      <c r="F17" s="1120"/>
      <c r="G17" s="761"/>
      <c r="H17" s="742"/>
    </row>
    <row r="18" spans="2:8" ht="12.75" hidden="1">
      <c r="B18" s="490" t="s">
        <v>237</v>
      </c>
      <c r="C18" s="743">
        <f aca="true" t="shared" si="1" ref="C18:H18">SUM(C16:C17)</f>
        <v>0</v>
      </c>
      <c r="D18" s="744">
        <f t="shared" si="1"/>
        <v>0</v>
      </c>
      <c r="E18" s="1105">
        <f t="shared" si="1"/>
        <v>0</v>
      </c>
      <c r="F18" s="1121">
        <f t="shared" si="1"/>
        <v>0</v>
      </c>
      <c r="G18" s="762">
        <f t="shared" si="1"/>
        <v>0</v>
      </c>
      <c r="H18" s="744">
        <f t="shared" si="1"/>
        <v>0</v>
      </c>
    </row>
    <row r="19" spans="2:8" ht="12.75" hidden="1">
      <c r="B19" s="490" t="s">
        <v>238</v>
      </c>
      <c r="C19" s="743"/>
      <c r="D19" s="744"/>
      <c r="E19" s="1105"/>
      <c r="F19" s="1121"/>
      <c r="G19" s="762"/>
      <c r="H19" s="744"/>
    </row>
    <row r="20" spans="2:8" ht="12.75" hidden="1">
      <c r="B20" s="491" t="s">
        <v>165</v>
      </c>
      <c r="C20" s="741"/>
      <c r="D20" s="742"/>
      <c r="E20" s="1104"/>
      <c r="F20" s="1120"/>
      <c r="G20" s="761"/>
      <c r="H20" s="742"/>
    </row>
    <row r="21" spans="2:8" ht="12.75" hidden="1">
      <c r="B21" s="491" t="s">
        <v>166</v>
      </c>
      <c r="C21" s="741"/>
      <c r="D21" s="742"/>
      <c r="E21" s="1104"/>
      <c r="F21" s="1120"/>
      <c r="G21" s="761"/>
      <c r="H21" s="742"/>
    </row>
    <row r="22" spans="2:8" ht="12.75" hidden="1">
      <c r="B22" s="491" t="s">
        <v>167</v>
      </c>
      <c r="C22" s="741"/>
      <c r="D22" s="742"/>
      <c r="E22" s="1104"/>
      <c r="F22" s="1120"/>
      <c r="G22" s="761"/>
      <c r="H22" s="742"/>
    </row>
    <row r="23" spans="2:8" ht="12.75" hidden="1">
      <c r="B23" s="491" t="s">
        <v>168</v>
      </c>
      <c r="C23" s="741"/>
      <c r="D23" s="742"/>
      <c r="E23" s="1104"/>
      <c r="F23" s="1120"/>
      <c r="G23" s="761"/>
      <c r="H23" s="742"/>
    </row>
    <row r="24" spans="2:8" ht="12.75" hidden="1">
      <c r="B24" s="491" t="s">
        <v>169</v>
      </c>
      <c r="C24" s="741"/>
      <c r="D24" s="742"/>
      <c r="E24" s="1104"/>
      <c r="F24" s="1120"/>
      <c r="G24" s="761"/>
      <c r="H24" s="742"/>
    </row>
    <row r="25" spans="2:8" ht="12.75" hidden="1">
      <c r="B25" s="490" t="s">
        <v>239</v>
      </c>
      <c r="C25" s="743">
        <f aca="true" t="shared" si="2" ref="C25:H25">SUM(C20:C24)</f>
        <v>0</v>
      </c>
      <c r="D25" s="744">
        <f t="shared" si="2"/>
        <v>0</v>
      </c>
      <c r="E25" s="1105">
        <f t="shared" si="2"/>
        <v>0</v>
      </c>
      <c r="F25" s="1121">
        <f t="shared" si="2"/>
        <v>0</v>
      </c>
      <c r="G25" s="762">
        <f t="shared" si="2"/>
        <v>0</v>
      </c>
      <c r="H25" s="744">
        <f t="shared" si="2"/>
        <v>0</v>
      </c>
    </row>
    <row r="26" spans="2:8" s="76" customFormat="1" ht="12.75" hidden="1">
      <c r="B26" s="492" t="s">
        <v>271</v>
      </c>
      <c r="C26" s="745"/>
      <c r="D26" s="746"/>
      <c r="E26" s="1106"/>
      <c r="F26" s="1122"/>
      <c r="G26" s="763">
        <f>C26+E26</f>
        <v>0</v>
      </c>
      <c r="H26" s="746">
        <v>0</v>
      </c>
    </row>
    <row r="27" spans="2:8" s="76" customFormat="1" ht="12.75">
      <c r="B27" s="492" t="s">
        <v>272</v>
      </c>
      <c r="C27" s="745"/>
      <c r="D27" s="746"/>
      <c r="E27" s="1107">
        <v>270000</v>
      </c>
      <c r="F27" s="1123">
        <v>270000</v>
      </c>
      <c r="G27" s="757">
        <f>C27+E27</f>
        <v>270000</v>
      </c>
      <c r="H27" s="746">
        <f>D27+F27</f>
        <v>270000</v>
      </c>
    </row>
    <row r="28" spans="2:8" ht="12.75">
      <c r="B28" s="490" t="s">
        <v>240</v>
      </c>
      <c r="C28" s="743">
        <f aca="true" t="shared" si="3" ref="C28:H28">C26+C27</f>
        <v>0</v>
      </c>
      <c r="D28" s="744">
        <f t="shared" si="3"/>
        <v>0</v>
      </c>
      <c r="E28" s="1105">
        <f t="shared" si="3"/>
        <v>270000</v>
      </c>
      <c r="F28" s="1121">
        <f t="shared" si="3"/>
        <v>270000</v>
      </c>
      <c r="G28" s="762">
        <f t="shared" si="3"/>
        <v>270000</v>
      </c>
      <c r="H28" s="744">
        <f t="shared" si="3"/>
        <v>270000</v>
      </c>
    </row>
    <row r="29" spans="2:8" ht="12.75">
      <c r="B29" s="493" t="s">
        <v>166</v>
      </c>
      <c r="C29" s="757">
        <v>1400000</v>
      </c>
      <c r="D29" s="1115">
        <v>1400000</v>
      </c>
      <c r="E29" s="1108"/>
      <c r="F29" s="1120"/>
      <c r="G29" s="757">
        <f aca="true" t="shared" si="4" ref="G29:G34">C29+E29</f>
        <v>1400000</v>
      </c>
      <c r="H29" s="746">
        <f aca="true" t="shared" si="5" ref="H29:H34">D29+F29</f>
        <v>1400000</v>
      </c>
    </row>
    <row r="30" spans="2:8" ht="12.75">
      <c r="B30" s="493" t="s">
        <v>269</v>
      </c>
      <c r="C30" s="758">
        <v>549880</v>
      </c>
      <c r="D30" s="1116">
        <v>549880</v>
      </c>
      <c r="E30" s="1108"/>
      <c r="F30" s="1120"/>
      <c r="G30" s="757">
        <v>549880</v>
      </c>
      <c r="H30" s="746">
        <v>549880</v>
      </c>
    </row>
    <row r="31" spans="2:8" ht="12.75">
      <c r="B31" s="493" t="s">
        <v>482</v>
      </c>
      <c r="C31" s="758">
        <v>750120</v>
      </c>
      <c r="D31" s="1116">
        <v>750120</v>
      </c>
      <c r="E31" s="1108"/>
      <c r="F31" s="1120"/>
      <c r="G31" s="757">
        <v>750120</v>
      </c>
      <c r="H31" s="746">
        <v>750120</v>
      </c>
    </row>
    <row r="32" spans="2:8" ht="12.75">
      <c r="B32" s="493" t="s">
        <v>343</v>
      </c>
      <c r="C32" s="758">
        <v>2540000</v>
      </c>
      <c r="D32" s="1116">
        <v>2540000</v>
      </c>
      <c r="E32" s="1108"/>
      <c r="F32" s="1120"/>
      <c r="G32" s="757">
        <f>C32+E32</f>
        <v>2540000</v>
      </c>
      <c r="H32" s="746">
        <f t="shared" si="5"/>
        <v>2540000</v>
      </c>
    </row>
    <row r="33" spans="2:8" ht="12.75">
      <c r="B33" s="493" t="s">
        <v>344</v>
      </c>
      <c r="C33" s="757">
        <v>360000</v>
      </c>
      <c r="D33" s="1115">
        <v>360000</v>
      </c>
      <c r="E33" s="1108"/>
      <c r="F33" s="1120"/>
      <c r="G33" s="757">
        <f t="shared" si="4"/>
        <v>360000</v>
      </c>
      <c r="H33" s="746">
        <f t="shared" si="5"/>
        <v>360000</v>
      </c>
    </row>
    <row r="34" spans="2:8" ht="12.75">
      <c r="B34" s="493" t="s">
        <v>345</v>
      </c>
      <c r="C34" s="758">
        <v>700000</v>
      </c>
      <c r="D34" s="1116">
        <f>700000+270637</f>
        <v>970637</v>
      </c>
      <c r="E34" s="1108"/>
      <c r="F34" s="1122"/>
      <c r="G34" s="757">
        <f t="shared" si="4"/>
        <v>700000</v>
      </c>
      <c r="H34" s="746">
        <f t="shared" si="5"/>
        <v>970637</v>
      </c>
    </row>
    <row r="35" spans="2:8" ht="13.5" thickBot="1">
      <c r="B35" s="494" t="s">
        <v>241</v>
      </c>
      <c r="C35" s="748">
        <f aca="true" t="shared" si="6" ref="C35:H35">SUM(C29:C34)</f>
        <v>6300000</v>
      </c>
      <c r="D35" s="749">
        <f t="shared" si="6"/>
        <v>6570637</v>
      </c>
      <c r="E35" s="1109">
        <f t="shared" si="6"/>
        <v>0</v>
      </c>
      <c r="F35" s="1124">
        <f t="shared" si="6"/>
        <v>0</v>
      </c>
      <c r="G35" s="764">
        <f t="shared" si="6"/>
        <v>6300000</v>
      </c>
      <c r="H35" s="749">
        <f t="shared" si="6"/>
        <v>6570637</v>
      </c>
    </row>
    <row r="36" spans="2:8" ht="13.5" thickBot="1">
      <c r="B36" s="498" t="s">
        <v>70</v>
      </c>
      <c r="C36" s="750">
        <f aca="true" t="shared" si="7" ref="C36:H36">C14+C18+C19+C25+C28+C35+C15</f>
        <v>6300000</v>
      </c>
      <c r="D36" s="751">
        <f t="shared" si="7"/>
        <v>6570637</v>
      </c>
      <c r="E36" s="1110">
        <f t="shared" si="7"/>
        <v>270000</v>
      </c>
      <c r="F36" s="1125">
        <f t="shared" si="7"/>
        <v>270000</v>
      </c>
      <c r="G36" s="765">
        <f t="shared" si="7"/>
        <v>6570000</v>
      </c>
      <c r="H36" s="751">
        <f t="shared" si="7"/>
        <v>6840637</v>
      </c>
    </row>
    <row r="37" spans="2:8" s="76" customFormat="1" ht="12.75">
      <c r="B37" s="499" t="s">
        <v>522</v>
      </c>
      <c r="C37" s="752">
        <v>3000000</v>
      </c>
      <c r="D37" s="752">
        <v>3000000</v>
      </c>
      <c r="E37" s="1111"/>
      <c r="F37" s="1126"/>
      <c r="G37" s="757">
        <f aca="true" t="shared" si="8" ref="G37:H39">C37+E37</f>
        <v>3000000</v>
      </c>
      <c r="H37" s="746">
        <f t="shared" si="8"/>
        <v>3000000</v>
      </c>
    </row>
    <row r="38" spans="2:8" ht="12.75">
      <c r="B38" s="496" t="s">
        <v>832</v>
      </c>
      <c r="C38" s="753">
        <v>127000</v>
      </c>
      <c r="D38" s="753">
        <v>127000</v>
      </c>
      <c r="E38" s="1112"/>
      <c r="F38" s="1127"/>
      <c r="G38" s="757">
        <f t="shared" si="8"/>
        <v>127000</v>
      </c>
      <c r="H38" s="746">
        <f t="shared" si="8"/>
        <v>127000</v>
      </c>
    </row>
    <row r="39" spans="2:8" ht="13.5" thickBot="1">
      <c r="B39" s="497" t="s">
        <v>521</v>
      </c>
      <c r="C39" s="754">
        <v>4320000</v>
      </c>
      <c r="D39" s="754">
        <v>7926744</v>
      </c>
      <c r="E39" s="1113"/>
      <c r="F39" s="1128"/>
      <c r="G39" s="757">
        <f t="shared" si="8"/>
        <v>4320000</v>
      </c>
      <c r="H39" s="746">
        <f t="shared" si="8"/>
        <v>7926744</v>
      </c>
    </row>
    <row r="40" spans="2:8" ht="13.5" thickBot="1">
      <c r="B40" s="495" t="s">
        <v>520</v>
      </c>
      <c r="C40" s="755">
        <f aca="true" t="shared" si="9" ref="C40:H40">SUM(C37:C39)</f>
        <v>7447000</v>
      </c>
      <c r="D40" s="759">
        <f t="shared" si="9"/>
        <v>11053744</v>
      </c>
      <c r="E40" s="756">
        <f t="shared" si="9"/>
        <v>0</v>
      </c>
      <c r="F40" s="1129">
        <f t="shared" si="9"/>
        <v>0</v>
      </c>
      <c r="G40" s="755">
        <f t="shared" si="9"/>
        <v>7447000</v>
      </c>
      <c r="H40" s="1100">
        <f t="shared" si="9"/>
        <v>11053744</v>
      </c>
    </row>
    <row r="41" spans="2:8" ht="13.5" thickBot="1">
      <c r="B41" s="1101" t="s">
        <v>833</v>
      </c>
      <c r="C41" s="1117">
        <v>900000</v>
      </c>
      <c r="D41" s="1099">
        <v>900000</v>
      </c>
      <c r="E41" s="1114"/>
      <c r="F41" s="1130"/>
      <c r="G41" s="1117">
        <f>C41+E41</f>
        <v>900000</v>
      </c>
      <c r="H41" s="1099">
        <f>D41+F41</f>
        <v>900000</v>
      </c>
    </row>
  </sheetData>
  <sheetProtection/>
  <mergeCells count="6">
    <mergeCell ref="B4:H4"/>
    <mergeCell ref="B5:H5"/>
    <mergeCell ref="B9:B11"/>
    <mergeCell ref="C9:D10"/>
    <mergeCell ref="E9:F10"/>
    <mergeCell ref="G9:H10"/>
  </mergeCells>
  <printOptions horizontalCentered="1"/>
  <pageMargins left="0.17" right="0.9055118110236221" top="0.73" bottom="0.5118110236220472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PageLayoutView="0" workbookViewId="0" topLeftCell="A16">
      <selection activeCell="F20" sqref="F20"/>
    </sheetView>
  </sheetViews>
  <sheetFormatPr defaultColWidth="9.00390625" defaultRowHeight="12.75"/>
  <cols>
    <col min="1" max="1" width="3.625" style="5" bestFit="1" customWidth="1"/>
    <col min="2" max="2" width="64.75390625" style="5" customWidth="1"/>
    <col min="3" max="4" width="10.875" style="5" customWidth="1"/>
    <col min="5" max="5" width="12.75390625" style="5" customWidth="1"/>
    <col min="6" max="6" width="12.125" style="5" customWidth="1"/>
    <col min="7" max="7" width="8.875" style="5" customWidth="1"/>
    <col min="8" max="8" width="10.875" style="5" customWidth="1"/>
    <col min="9" max="9" width="9.25390625" style="5" customWidth="1"/>
    <col min="10" max="11" width="8.75390625" style="5" customWidth="1"/>
    <col min="12" max="12" width="11.00390625" style="5" customWidth="1"/>
    <col min="13" max="13" width="10.25390625" style="5" customWidth="1"/>
    <col min="14" max="14" width="10.875" style="5" customWidth="1"/>
    <col min="15" max="15" width="8.75390625" style="5" bestFit="1" customWidth="1"/>
    <col min="16" max="16" width="9.75390625" style="5" customWidth="1"/>
    <col min="17" max="18" width="9.125" style="5" customWidth="1"/>
    <col min="19" max="19" width="9.625" style="5" bestFit="1" customWidth="1"/>
    <col min="20" max="16384" width="9.125" style="5" customWidth="1"/>
  </cols>
  <sheetData>
    <row r="1" spans="1:2" ht="12">
      <c r="A1" s="4" t="s">
        <v>274</v>
      </c>
      <c r="B1" s="107" t="str">
        <f>'bev-int'!B1</f>
        <v>melléklet a …/2024. (III.  .) önkormányzati rendelethez</v>
      </c>
    </row>
    <row r="3" ht="12">
      <c r="B3" s="6"/>
    </row>
    <row r="4" spans="2:15" s="92" customFormat="1" ht="17.25" customHeight="1">
      <c r="B4" s="1157" t="s">
        <v>709</v>
      </c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</row>
    <row r="5" ht="17.25" customHeight="1">
      <c r="B5" s="6"/>
    </row>
    <row r="6" spans="1:16" s="77" customFormat="1" ht="33.75" customHeight="1">
      <c r="A6" s="1178" t="s">
        <v>55</v>
      </c>
      <c r="B6" s="1178"/>
      <c r="C6" s="1176" t="s">
        <v>349</v>
      </c>
      <c r="D6" s="1176"/>
      <c r="E6" s="1177" t="s">
        <v>56</v>
      </c>
      <c r="F6" s="1177"/>
      <c r="G6" s="1177" t="s">
        <v>543</v>
      </c>
      <c r="H6" s="1177"/>
      <c r="I6" s="1177" t="s">
        <v>350</v>
      </c>
      <c r="J6" s="1177"/>
      <c r="K6" s="1177" t="s">
        <v>57</v>
      </c>
      <c r="L6" s="1177"/>
      <c r="M6" s="1177" t="s">
        <v>58</v>
      </c>
      <c r="N6" s="1177"/>
      <c r="O6" s="1177" t="s">
        <v>234</v>
      </c>
      <c r="P6" s="1177"/>
    </row>
    <row r="7" spans="1:16" s="77" customFormat="1" ht="12">
      <c r="A7" s="1178"/>
      <c r="B7" s="1178"/>
      <c r="C7" s="443" t="s">
        <v>465</v>
      </c>
      <c r="D7" s="443" t="s">
        <v>466</v>
      </c>
      <c r="E7" s="443" t="s">
        <v>465</v>
      </c>
      <c r="F7" s="443" t="s">
        <v>466</v>
      </c>
      <c r="G7" s="443" t="s">
        <v>465</v>
      </c>
      <c r="H7" s="443" t="s">
        <v>466</v>
      </c>
      <c r="I7" s="443" t="s">
        <v>465</v>
      </c>
      <c r="J7" s="443" t="s">
        <v>466</v>
      </c>
      <c r="K7" s="443" t="s">
        <v>465</v>
      </c>
      <c r="L7" s="443" t="s">
        <v>466</v>
      </c>
      <c r="M7" s="443" t="s">
        <v>465</v>
      </c>
      <c r="N7" s="443" t="s">
        <v>466</v>
      </c>
      <c r="O7" s="443" t="s">
        <v>465</v>
      </c>
      <c r="P7" s="443" t="s">
        <v>466</v>
      </c>
    </row>
    <row r="8" spans="1:16" s="77" customFormat="1" ht="12">
      <c r="A8" s="446" t="s">
        <v>351</v>
      </c>
      <c r="B8" s="520" t="s">
        <v>756</v>
      </c>
      <c r="C8" s="767">
        <f aca="true" t="shared" si="0" ref="C8:D26">E8+G8+I8+K8+M8+O8</f>
        <v>5715000</v>
      </c>
      <c r="D8" s="767">
        <f t="shared" si="0"/>
        <v>5715000</v>
      </c>
      <c r="E8" s="768">
        <v>5715000</v>
      </c>
      <c r="F8" s="768">
        <v>5715000</v>
      </c>
      <c r="G8" s="768"/>
      <c r="H8" s="768"/>
      <c r="I8" s="769"/>
      <c r="J8" s="769"/>
      <c r="K8" s="770"/>
      <c r="L8" s="770"/>
      <c r="M8" s="769"/>
      <c r="N8" s="769"/>
      <c r="O8" s="769"/>
      <c r="P8" s="769"/>
    </row>
    <row r="9" spans="1:16" s="77" customFormat="1" ht="12">
      <c r="A9" s="446" t="s">
        <v>95</v>
      </c>
      <c r="B9" s="447" t="s">
        <v>757</v>
      </c>
      <c r="C9" s="767">
        <f t="shared" si="0"/>
        <v>172950000</v>
      </c>
      <c r="D9" s="767">
        <f t="shared" si="0"/>
        <v>172950000</v>
      </c>
      <c r="E9" s="768">
        <v>172950000</v>
      </c>
      <c r="F9" s="768">
        <v>172950000</v>
      </c>
      <c r="G9" s="768"/>
      <c r="H9" s="768"/>
      <c r="I9" s="769"/>
      <c r="J9" s="769"/>
      <c r="K9" s="770"/>
      <c r="L9" s="770"/>
      <c r="M9" s="769"/>
      <c r="N9" s="769"/>
      <c r="O9" s="769"/>
      <c r="P9" s="769"/>
    </row>
    <row r="10" spans="1:16" s="77" customFormat="1" ht="12">
      <c r="A10" s="446" t="s">
        <v>352</v>
      </c>
      <c r="B10" s="447" t="s">
        <v>758</v>
      </c>
      <c r="C10" s="767">
        <f t="shared" si="0"/>
        <v>6350000</v>
      </c>
      <c r="D10" s="767">
        <f t="shared" si="0"/>
        <v>6350000</v>
      </c>
      <c r="E10" s="768">
        <v>6350000</v>
      </c>
      <c r="F10" s="768">
        <v>6350000</v>
      </c>
      <c r="G10" s="768"/>
      <c r="H10" s="768"/>
      <c r="I10" s="769"/>
      <c r="J10" s="769"/>
      <c r="K10" s="770"/>
      <c r="L10" s="770"/>
      <c r="M10" s="769"/>
      <c r="N10" s="769"/>
      <c r="O10" s="769"/>
      <c r="P10" s="769"/>
    </row>
    <row r="11" spans="1:16" s="77" customFormat="1" ht="12">
      <c r="A11" s="446" t="s">
        <v>96</v>
      </c>
      <c r="B11" s="447" t="s">
        <v>762</v>
      </c>
      <c r="C11" s="767">
        <f t="shared" si="0"/>
        <v>4500000</v>
      </c>
      <c r="D11" s="767">
        <f t="shared" si="0"/>
        <v>4500000</v>
      </c>
      <c r="E11" s="768">
        <v>4500000</v>
      </c>
      <c r="F11" s="768">
        <v>4500000</v>
      </c>
      <c r="G11" s="768"/>
      <c r="H11" s="768"/>
      <c r="I11" s="769"/>
      <c r="J11" s="769"/>
      <c r="K11" s="770"/>
      <c r="L11" s="770"/>
      <c r="M11" s="769"/>
      <c r="N11" s="769"/>
      <c r="O11" s="769"/>
      <c r="P11" s="769"/>
    </row>
    <row r="12" spans="1:16" s="77" customFormat="1" ht="12">
      <c r="A12" s="446" t="s">
        <v>97</v>
      </c>
      <c r="B12" s="447" t="s">
        <v>551</v>
      </c>
      <c r="C12" s="767">
        <f t="shared" si="0"/>
        <v>663974086</v>
      </c>
      <c r="D12" s="767">
        <f t="shared" si="0"/>
        <v>822622144</v>
      </c>
      <c r="E12" s="768">
        <f>662588446+1385640</f>
        <v>663974086</v>
      </c>
      <c r="F12" s="768">
        <f>662588446+1385640+52008120+105311010+1328928</f>
        <v>822622144</v>
      </c>
      <c r="G12" s="768"/>
      <c r="H12" s="768"/>
      <c r="I12" s="769"/>
      <c r="J12" s="769"/>
      <c r="K12" s="770"/>
      <c r="L12" s="770"/>
      <c r="M12" s="769"/>
      <c r="N12" s="769"/>
      <c r="O12" s="769"/>
      <c r="P12" s="769"/>
    </row>
    <row r="13" spans="1:16" s="77" customFormat="1" ht="12">
      <c r="A13" s="446" t="s">
        <v>98</v>
      </c>
      <c r="B13" s="520" t="s">
        <v>759</v>
      </c>
      <c r="C13" s="767">
        <f t="shared" si="0"/>
        <v>34600000</v>
      </c>
      <c r="D13" s="767">
        <f t="shared" si="0"/>
        <v>34600000</v>
      </c>
      <c r="E13" s="768">
        <v>34600000</v>
      </c>
      <c r="F13" s="768">
        <v>34600000</v>
      </c>
      <c r="G13" s="768"/>
      <c r="H13" s="768"/>
      <c r="I13" s="769"/>
      <c r="J13" s="769"/>
      <c r="K13" s="770"/>
      <c r="L13" s="770"/>
      <c r="M13" s="769"/>
      <c r="N13" s="769"/>
      <c r="O13" s="769"/>
      <c r="P13" s="769"/>
    </row>
    <row r="14" spans="1:16" s="77" customFormat="1" ht="12">
      <c r="A14" s="446" t="s">
        <v>99</v>
      </c>
      <c r="B14" s="520" t="s">
        <v>905</v>
      </c>
      <c r="C14" s="767"/>
      <c r="D14" s="767">
        <f t="shared" si="0"/>
        <v>1362495</v>
      </c>
      <c r="E14" s="768"/>
      <c r="F14" s="768">
        <v>1362495</v>
      </c>
      <c r="G14" s="768"/>
      <c r="H14" s="768"/>
      <c r="I14" s="769"/>
      <c r="J14" s="769"/>
      <c r="K14" s="770"/>
      <c r="L14" s="770"/>
      <c r="M14" s="769"/>
      <c r="N14" s="769"/>
      <c r="O14" s="769"/>
      <c r="P14" s="769"/>
    </row>
    <row r="15" spans="1:16" s="77" customFormat="1" ht="12">
      <c r="A15" s="446" t="s">
        <v>332</v>
      </c>
      <c r="B15" s="520" t="s">
        <v>489</v>
      </c>
      <c r="C15" s="767">
        <f t="shared" si="0"/>
        <v>1000000</v>
      </c>
      <c r="D15" s="767">
        <f t="shared" si="0"/>
        <v>1000000</v>
      </c>
      <c r="E15" s="768">
        <v>1000000</v>
      </c>
      <c r="F15" s="768">
        <v>1000000</v>
      </c>
      <c r="G15" s="768"/>
      <c r="H15" s="768"/>
      <c r="I15" s="769"/>
      <c r="J15" s="769"/>
      <c r="K15" s="770"/>
      <c r="L15" s="770"/>
      <c r="M15" s="769"/>
      <c r="N15" s="769"/>
      <c r="O15" s="769"/>
      <c r="P15" s="769"/>
    </row>
    <row r="16" spans="1:16" s="77" customFormat="1" ht="12">
      <c r="A16" s="446" t="s">
        <v>100</v>
      </c>
      <c r="B16" s="520" t="s">
        <v>760</v>
      </c>
      <c r="C16" s="767">
        <f t="shared" si="0"/>
        <v>50000</v>
      </c>
      <c r="D16" s="767">
        <f t="shared" si="0"/>
        <v>50000</v>
      </c>
      <c r="E16" s="768">
        <v>50000</v>
      </c>
      <c r="F16" s="768">
        <v>50000</v>
      </c>
      <c r="G16" s="768"/>
      <c r="H16" s="768"/>
      <c r="I16" s="769"/>
      <c r="J16" s="769"/>
      <c r="K16" s="770"/>
      <c r="L16" s="770"/>
      <c r="M16" s="769"/>
      <c r="N16" s="769"/>
      <c r="O16" s="769"/>
      <c r="P16" s="769"/>
    </row>
    <row r="17" spans="1:16" s="77" customFormat="1" ht="11.25" customHeight="1">
      <c r="A17" s="446" t="s">
        <v>333</v>
      </c>
      <c r="B17" s="520" t="s">
        <v>767</v>
      </c>
      <c r="C17" s="767">
        <f t="shared" si="0"/>
        <v>381000</v>
      </c>
      <c r="D17" s="767">
        <f t="shared" si="0"/>
        <v>381000</v>
      </c>
      <c r="E17" s="768">
        <v>381000</v>
      </c>
      <c r="F17" s="768">
        <v>381000</v>
      </c>
      <c r="G17" s="768"/>
      <c r="H17" s="768"/>
      <c r="I17" s="769"/>
      <c r="J17" s="769"/>
      <c r="K17" s="770"/>
      <c r="L17" s="770"/>
      <c r="M17" s="769"/>
      <c r="N17" s="769"/>
      <c r="O17" s="769"/>
      <c r="P17" s="769"/>
    </row>
    <row r="18" spans="1:19" s="77" customFormat="1" ht="14.25" customHeight="1">
      <c r="A18" s="446" t="s">
        <v>101</v>
      </c>
      <c r="B18" s="447" t="s">
        <v>761</v>
      </c>
      <c r="C18" s="767">
        <f t="shared" si="0"/>
        <v>1000000</v>
      </c>
      <c r="D18" s="767">
        <f t="shared" si="0"/>
        <v>1000000</v>
      </c>
      <c r="E18" s="768">
        <v>1000000</v>
      </c>
      <c r="F18" s="768">
        <v>1000000</v>
      </c>
      <c r="G18" s="768"/>
      <c r="H18" s="768"/>
      <c r="I18" s="769"/>
      <c r="J18" s="769"/>
      <c r="K18" s="770"/>
      <c r="L18" s="770"/>
      <c r="M18" s="769"/>
      <c r="N18" s="769"/>
      <c r="O18" s="769"/>
      <c r="P18" s="769"/>
      <c r="S18" s="186"/>
    </row>
    <row r="19" spans="1:16" s="77" customFormat="1" ht="12">
      <c r="A19" s="446" t="s">
        <v>102</v>
      </c>
      <c r="B19" s="447" t="s">
        <v>776</v>
      </c>
      <c r="C19" s="767">
        <f t="shared" si="0"/>
        <v>763425</v>
      </c>
      <c r="D19" s="767">
        <f t="shared" si="0"/>
        <v>763425</v>
      </c>
      <c r="E19" s="768">
        <v>763425</v>
      </c>
      <c r="F19" s="768">
        <v>763425</v>
      </c>
      <c r="G19" s="768"/>
      <c r="H19" s="768"/>
      <c r="I19" s="769"/>
      <c r="J19" s="769"/>
      <c r="K19" s="770"/>
      <c r="L19" s="770"/>
      <c r="M19" s="769"/>
      <c r="N19" s="769"/>
      <c r="O19" s="769"/>
      <c r="P19" s="769"/>
    </row>
    <row r="20" spans="1:16" s="77" customFormat="1" ht="12">
      <c r="A20" s="446" t="s">
        <v>103</v>
      </c>
      <c r="B20" s="447" t="s">
        <v>763</v>
      </c>
      <c r="C20" s="767">
        <f t="shared" si="0"/>
        <v>950000</v>
      </c>
      <c r="D20" s="767">
        <f t="shared" si="0"/>
        <v>507443</v>
      </c>
      <c r="E20" s="768">
        <v>950000</v>
      </c>
      <c r="F20" s="768">
        <f>950000-308980-94138-39439</f>
        <v>507443</v>
      </c>
      <c r="G20" s="768"/>
      <c r="H20" s="768"/>
      <c r="I20" s="769"/>
      <c r="J20" s="769"/>
      <c r="K20" s="770"/>
      <c r="L20" s="770"/>
      <c r="M20" s="769"/>
      <c r="N20" s="769"/>
      <c r="O20" s="769"/>
      <c r="P20" s="769"/>
    </row>
    <row r="21" spans="1:16" s="77" customFormat="1" ht="12">
      <c r="A21" s="446" t="s">
        <v>334</v>
      </c>
      <c r="B21" s="447" t="s">
        <v>764</v>
      </c>
      <c r="C21" s="767">
        <f t="shared" si="0"/>
        <v>500000</v>
      </c>
      <c r="D21" s="767">
        <f t="shared" si="0"/>
        <v>500000</v>
      </c>
      <c r="E21" s="771">
        <v>500000</v>
      </c>
      <c r="F21" s="771">
        <v>500000</v>
      </c>
      <c r="G21" s="768"/>
      <c r="H21" s="768"/>
      <c r="I21" s="769"/>
      <c r="J21" s="769"/>
      <c r="K21" s="770"/>
      <c r="L21" s="770"/>
      <c r="M21" s="769"/>
      <c r="N21" s="769"/>
      <c r="O21" s="769"/>
      <c r="P21" s="769"/>
    </row>
    <row r="22" spans="1:16" s="77" customFormat="1" ht="12">
      <c r="A22" s="446" t="s">
        <v>353</v>
      </c>
      <c r="B22" s="1086" t="s">
        <v>855</v>
      </c>
      <c r="C22" s="767">
        <f t="shared" si="0"/>
        <v>0</v>
      </c>
      <c r="D22" s="767">
        <f t="shared" si="0"/>
        <v>2539650</v>
      </c>
      <c r="E22" s="771"/>
      <c r="F22" s="771">
        <v>2539650</v>
      </c>
      <c r="G22" s="768"/>
      <c r="H22" s="768"/>
      <c r="I22" s="769"/>
      <c r="J22" s="769"/>
      <c r="K22" s="770"/>
      <c r="L22" s="770"/>
      <c r="M22" s="769"/>
      <c r="N22" s="769"/>
      <c r="O22" s="769"/>
      <c r="P22" s="769"/>
    </row>
    <row r="23" spans="1:16" s="77" customFormat="1" ht="24">
      <c r="A23" s="446" t="s">
        <v>335</v>
      </c>
      <c r="B23" s="1086" t="s">
        <v>851</v>
      </c>
      <c r="C23" s="767">
        <f t="shared" si="0"/>
        <v>0</v>
      </c>
      <c r="D23" s="767">
        <f>F23+H23+J23+L23+N23+P23</f>
        <v>149532710</v>
      </c>
      <c r="E23" s="771"/>
      <c r="F23" s="771">
        <f>117742291+31790419</f>
        <v>149532710</v>
      </c>
      <c r="G23" s="768"/>
      <c r="H23" s="768"/>
      <c r="I23" s="769"/>
      <c r="J23" s="769"/>
      <c r="K23" s="770"/>
      <c r="L23" s="770"/>
      <c r="M23" s="769"/>
      <c r="N23" s="769"/>
      <c r="O23" s="769"/>
      <c r="P23" s="769"/>
    </row>
    <row r="24" spans="1:16" s="77" customFormat="1" ht="12">
      <c r="A24" s="446" t="s">
        <v>130</v>
      </c>
      <c r="B24" s="1086" t="s">
        <v>852</v>
      </c>
      <c r="C24" s="767"/>
      <c r="D24" s="767">
        <f>F24+H24+J24+L24+N24+P24</f>
        <v>571500</v>
      </c>
      <c r="E24" s="771"/>
      <c r="F24" s="771">
        <v>571500</v>
      </c>
      <c r="G24" s="768"/>
      <c r="H24" s="768"/>
      <c r="I24" s="769"/>
      <c r="J24" s="769"/>
      <c r="K24" s="770"/>
      <c r="L24" s="770"/>
      <c r="M24" s="769"/>
      <c r="N24" s="769"/>
      <c r="O24" s="769"/>
      <c r="P24" s="769"/>
    </row>
    <row r="25" spans="1:16" s="77" customFormat="1" ht="12">
      <c r="A25" s="446" t="s">
        <v>131</v>
      </c>
      <c r="B25" s="447" t="s">
        <v>765</v>
      </c>
      <c r="C25" s="767">
        <f t="shared" si="0"/>
        <v>6100000</v>
      </c>
      <c r="D25" s="767">
        <f t="shared" si="0"/>
        <v>6100000</v>
      </c>
      <c r="E25" s="771">
        <v>6100000</v>
      </c>
      <c r="F25" s="771">
        <v>6100000</v>
      </c>
      <c r="G25" s="768"/>
      <c r="H25" s="768"/>
      <c r="I25" s="769"/>
      <c r="J25" s="769"/>
      <c r="K25" s="770"/>
      <c r="L25" s="770"/>
      <c r="M25" s="769"/>
      <c r="N25" s="769"/>
      <c r="O25" s="769"/>
      <c r="P25" s="769"/>
    </row>
    <row r="26" spans="1:16" s="77" customFormat="1" ht="12">
      <c r="A26" s="446" t="s">
        <v>132</v>
      </c>
      <c r="B26" s="447" t="s">
        <v>766</v>
      </c>
      <c r="C26" s="767">
        <f t="shared" si="0"/>
        <v>635000</v>
      </c>
      <c r="D26" s="767">
        <f t="shared" si="0"/>
        <v>635000</v>
      </c>
      <c r="E26" s="771">
        <v>635000</v>
      </c>
      <c r="F26" s="771">
        <v>635000</v>
      </c>
      <c r="G26" s="768"/>
      <c r="H26" s="768"/>
      <c r="I26" s="769"/>
      <c r="J26" s="769"/>
      <c r="K26" s="770"/>
      <c r="L26" s="770"/>
      <c r="M26" s="769"/>
      <c r="N26" s="769"/>
      <c r="O26" s="769"/>
      <c r="P26" s="769"/>
    </row>
    <row r="27" spans="1:16" s="77" customFormat="1" ht="12">
      <c r="A27" s="446" t="s">
        <v>354</v>
      </c>
      <c r="B27" s="608" t="s">
        <v>690</v>
      </c>
      <c r="C27" s="747">
        <f aca="true" t="shared" si="1" ref="C27:D40">E27+G27+I27+K27+M27+O27</f>
        <v>635000</v>
      </c>
      <c r="D27" s="747">
        <f t="shared" si="1"/>
        <v>635000</v>
      </c>
      <c r="E27" s="772"/>
      <c r="F27" s="772"/>
      <c r="G27" s="769"/>
      <c r="H27" s="769"/>
      <c r="I27" s="769"/>
      <c r="J27" s="769"/>
      <c r="K27" s="769"/>
      <c r="L27" s="769"/>
      <c r="M27" s="769">
        <v>635000</v>
      </c>
      <c r="N27" s="769">
        <v>635000</v>
      </c>
      <c r="O27" s="769"/>
      <c r="P27" s="769"/>
    </row>
    <row r="28" spans="1:16" s="77" customFormat="1" ht="12">
      <c r="A28" s="446" t="s">
        <v>355</v>
      </c>
      <c r="B28" s="586" t="s">
        <v>749</v>
      </c>
      <c r="C28" s="747">
        <f t="shared" si="1"/>
        <v>11645947</v>
      </c>
      <c r="D28" s="747">
        <f t="shared" si="1"/>
        <v>11645947</v>
      </c>
      <c r="E28" s="769"/>
      <c r="F28" s="769"/>
      <c r="G28" s="769"/>
      <c r="H28" s="769"/>
      <c r="I28" s="769"/>
      <c r="J28" s="769"/>
      <c r="K28" s="769"/>
      <c r="L28" s="769"/>
      <c r="M28" s="769"/>
      <c r="N28" s="769"/>
      <c r="O28" s="769">
        <v>11645947</v>
      </c>
      <c r="P28" s="769">
        <v>11645947</v>
      </c>
    </row>
    <row r="29" spans="1:16" s="77" customFormat="1" ht="12">
      <c r="A29" s="446" t="s">
        <v>356</v>
      </c>
      <c r="B29" s="586" t="s">
        <v>906</v>
      </c>
      <c r="C29" s="747"/>
      <c r="D29" s="747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769">
        <v>1398098</v>
      </c>
    </row>
    <row r="30" spans="1:16" s="77" customFormat="1" ht="12">
      <c r="A30" s="446" t="s">
        <v>357</v>
      </c>
      <c r="B30" s="587" t="s">
        <v>597</v>
      </c>
      <c r="C30" s="747">
        <f t="shared" si="1"/>
        <v>635000</v>
      </c>
      <c r="D30" s="747">
        <f t="shared" si="1"/>
        <v>635000</v>
      </c>
      <c r="E30" s="769"/>
      <c r="F30" s="769"/>
      <c r="G30" s="769">
        <v>635000</v>
      </c>
      <c r="H30" s="769">
        <v>635000</v>
      </c>
      <c r="I30" s="769"/>
      <c r="J30" s="769"/>
      <c r="K30" s="769"/>
      <c r="L30" s="769"/>
      <c r="M30" s="769"/>
      <c r="N30" s="769"/>
      <c r="O30" s="769"/>
      <c r="P30" s="769"/>
    </row>
    <row r="31" spans="1:16" s="77" customFormat="1" ht="12">
      <c r="A31" s="446" t="s">
        <v>358</v>
      </c>
      <c r="B31" s="588" t="s">
        <v>735</v>
      </c>
      <c r="C31" s="747">
        <f t="shared" si="1"/>
        <v>635000</v>
      </c>
      <c r="D31" s="747">
        <f t="shared" si="1"/>
        <v>635000</v>
      </c>
      <c r="E31" s="769"/>
      <c r="F31" s="769"/>
      <c r="G31" s="769">
        <v>635000</v>
      </c>
      <c r="H31" s="769">
        <v>635000</v>
      </c>
      <c r="I31" s="769"/>
      <c r="J31" s="769"/>
      <c r="K31" s="769"/>
      <c r="L31" s="769"/>
      <c r="M31" s="769"/>
      <c r="N31" s="769"/>
      <c r="O31" s="769"/>
      <c r="P31" s="769"/>
    </row>
    <row r="32" spans="1:16" s="77" customFormat="1" ht="12">
      <c r="A32" s="446" t="s">
        <v>742</v>
      </c>
      <c r="B32" s="520" t="s">
        <v>736</v>
      </c>
      <c r="C32" s="747">
        <f t="shared" si="1"/>
        <v>499900</v>
      </c>
      <c r="D32" s="747">
        <f t="shared" si="1"/>
        <v>499900</v>
      </c>
      <c r="E32" s="769"/>
      <c r="F32" s="769"/>
      <c r="G32" s="769"/>
      <c r="H32" s="769"/>
      <c r="I32" s="769">
        <v>499900</v>
      </c>
      <c r="J32" s="769">
        <v>499900</v>
      </c>
      <c r="K32" s="769"/>
      <c r="L32" s="769"/>
      <c r="M32" s="769"/>
      <c r="N32" s="769"/>
      <c r="O32" s="769"/>
      <c r="P32" s="769"/>
    </row>
    <row r="33" spans="1:16" s="77" customFormat="1" ht="12">
      <c r="A33" s="446" t="s">
        <v>743</v>
      </c>
      <c r="B33" s="519" t="s">
        <v>777</v>
      </c>
      <c r="C33" s="747">
        <f t="shared" si="1"/>
        <v>283653</v>
      </c>
      <c r="D33" s="747">
        <f t="shared" si="1"/>
        <v>283653</v>
      </c>
      <c r="E33" s="769"/>
      <c r="F33" s="769"/>
      <c r="G33" s="769"/>
      <c r="H33" s="769"/>
      <c r="I33" s="769">
        <v>283653</v>
      </c>
      <c r="J33" s="769">
        <v>283653</v>
      </c>
      <c r="K33" s="769"/>
      <c r="L33" s="769"/>
      <c r="M33" s="769"/>
      <c r="N33" s="769"/>
      <c r="O33" s="769"/>
      <c r="P33" s="769"/>
    </row>
    <row r="34" spans="1:16" s="77" customFormat="1" ht="12">
      <c r="A34" s="446" t="s">
        <v>744</v>
      </c>
      <c r="B34" s="519" t="s">
        <v>737</v>
      </c>
      <c r="C34" s="747">
        <f t="shared" si="1"/>
        <v>250000</v>
      </c>
      <c r="D34" s="747">
        <f t="shared" si="1"/>
        <v>250000</v>
      </c>
      <c r="E34" s="769"/>
      <c r="F34" s="769"/>
      <c r="G34" s="769"/>
      <c r="H34" s="769"/>
      <c r="I34" s="769">
        <v>250000</v>
      </c>
      <c r="J34" s="769">
        <v>250000</v>
      </c>
      <c r="K34" s="769"/>
      <c r="L34" s="769"/>
      <c r="M34" s="769"/>
      <c r="N34" s="769"/>
      <c r="O34" s="769"/>
      <c r="P34" s="769"/>
    </row>
    <row r="35" spans="1:16" s="77" customFormat="1" ht="12">
      <c r="A35" s="446" t="s">
        <v>381</v>
      </c>
      <c r="B35" s="519" t="s">
        <v>738</v>
      </c>
      <c r="C35" s="747">
        <f t="shared" si="1"/>
        <v>140000</v>
      </c>
      <c r="D35" s="747">
        <f t="shared" si="1"/>
        <v>140000</v>
      </c>
      <c r="E35" s="769"/>
      <c r="F35" s="769"/>
      <c r="G35" s="769"/>
      <c r="H35" s="769"/>
      <c r="I35" s="769">
        <v>140000</v>
      </c>
      <c r="J35" s="769">
        <v>140000</v>
      </c>
      <c r="K35" s="769"/>
      <c r="L35" s="769"/>
      <c r="M35" s="769"/>
      <c r="N35" s="769"/>
      <c r="O35" s="769"/>
      <c r="P35" s="769"/>
    </row>
    <row r="36" spans="1:16" s="77" customFormat="1" ht="12">
      <c r="A36" s="446" t="s">
        <v>471</v>
      </c>
      <c r="B36" s="519" t="s">
        <v>739</v>
      </c>
      <c r="C36" s="747">
        <f t="shared" si="1"/>
        <v>500000</v>
      </c>
      <c r="D36" s="747">
        <f t="shared" si="1"/>
        <v>500000</v>
      </c>
      <c r="E36" s="769"/>
      <c r="F36" s="769"/>
      <c r="G36" s="769"/>
      <c r="H36" s="769"/>
      <c r="I36" s="769">
        <v>500000</v>
      </c>
      <c r="J36" s="769">
        <v>500000</v>
      </c>
      <c r="K36" s="769"/>
      <c r="L36" s="769"/>
      <c r="M36" s="769"/>
      <c r="N36" s="769"/>
      <c r="O36" s="769"/>
      <c r="P36" s="769"/>
    </row>
    <row r="37" spans="1:16" s="77" customFormat="1" ht="12">
      <c r="A37" s="446" t="s">
        <v>745</v>
      </c>
      <c r="B37" s="519" t="s">
        <v>740</v>
      </c>
      <c r="C37" s="747">
        <f t="shared" si="1"/>
        <v>300000</v>
      </c>
      <c r="D37" s="747">
        <f t="shared" si="1"/>
        <v>300000</v>
      </c>
      <c r="E37" s="769"/>
      <c r="F37" s="769"/>
      <c r="G37" s="769"/>
      <c r="H37" s="769"/>
      <c r="I37" s="769">
        <v>300000</v>
      </c>
      <c r="J37" s="769">
        <v>300000</v>
      </c>
      <c r="K37" s="769"/>
      <c r="L37" s="769"/>
      <c r="M37" s="769"/>
      <c r="N37" s="769"/>
      <c r="O37" s="769"/>
      <c r="P37" s="769"/>
    </row>
    <row r="38" spans="1:16" s="77" customFormat="1" ht="12">
      <c r="A38" s="446" t="s">
        <v>746</v>
      </c>
      <c r="B38" s="519" t="s">
        <v>741</v>
      </c>
      <c r="C38" s="747">
        <f t="shared" si="1"/>
        <v>300000</v>
      </c>
      <c r="D38" s="747">
        <f t="shared" si="1"/>
        <v>300000</v>
      </c>
      <c r="E38" s="769"/>
      <c r="F38" s="769"/>
      <c r="G38" s="769"/>
      <c r="H38" s="769"/>
      <c r="I38" s="769">
        <v>300000</v>
      </c>
      <c r="J38" s="769">
        <v>300000</v>
      </c>
      <c r="K38" s="769"/>
      <c r="L38" s="769"/>
      <c r="M38" s="769"/>
      <c r="N38" s="769"/>
      <c r="O38" s="769"/>
      <c r="P38" s="769"/>
    </row>
    <row r="39" spans="1:16" s="77" customFormat="1" ht="12">
      <c r="A39" s="446" t="s">
        <v>801</v>
      </c>
      <c r="B39" s="519" t="s">
        <v>867</v>
      </c>
      <c r="C39" s="747"/>
      <c r="D39" s="747">
        <f t="shared" si="1"/>
        <v>162935</v>
      </c>
      <c r="E39" s="769"/>
      <c r="F39" s="769"/>
      <c r="G39" s="769"/>
      <c r="H39" s="769"/>
      <c r="I39" s="769"/>
      <c r="J39" s="769">
        <v>162935</v>
      </c>
      <c r="K39" s="769"/>
      <c r="L39" s="769"/>
      <c r="M39" s="769"/>
      <c r="N39" s="769"/>
      <c r="O39" s="769"/>
      <c r="P39" s="769"/>
    </row>
    <row r="40" spans="1:16" s="77" customFormat="1" ht="12">
      <c r="A40" s="446" t="s">
        <v>802</v>
      </c>
      <c r="B40" s="1145" t="s">
        <v>891</v>
      </c>
      <c r="C40" s="747"/>
      <c r="D40" s="747">
        <f t="shared" si="1"/>
        <v>949999</v>
      </c>
      <c r="E40" s="769"/>
      <c r="F40" s="769"/>
      <c r="G40" s="769"/>
      <c r="H40" s="769"/>
      <c r="I40" s="769"/>
      <c r="J40" s="769">
        <v>949999</v>
      </c>
      <c r="K40" s="769"/>
      <c r="L40" s="769"/>
      <c r="M40" s="769"/>
      <c r="N40" s="769"/>
      <c r="O40" s="769"/>
      <c r="P40" s="769"/>
    </row>
    <row r="41" spans="1:16" s="77" customFormat="1" ht="12">
      <c r="A41" s="446" t="s">
        <v>803</v>
      </c>
      <c r="B41" s="447" t="s">
        <v>748</v>
      </c>
      <c r="C41" s="773">
        <f aca="true" t="shared" si="2" ref="C41:D45">E41+G41+I41+K41+M41+O41</f>
        <v>287000</v>
      </c>
      <c r="D41" s="773">
        <f t="shared" si="2"/>
        <v>287000</v>
      </c>
      <c r="E41" s="772"/>
      <c r="F41" s="772"/>
      <c r="G41" s="769"/>
      <c r="H41" s="769"/>
      <c r="I41" s="769"/>
      <c r="J41" s="769"/>
      <c r="K41" s="770">
        <v>287000</v>
      </c>
      <c r="L41" s="770">
        <v>287000</v>
      </c>
      <c r="M41" s="769"/>
      <c r="N41" s="769"/>
      <c r="O41" s="769"/>
      <c r="P41" s="769"/>
    </row>
    <row r="42" spans="1:16" s="77" customFormat="1" ht="12">
      <c r="A42" s="446" t="s">
        <v>804</v>
      </c>
      <c r="B42" s="447" t="s">
        <v>868</v>
      </c>
      <c r="C42" s="773"/>
      <c r="D42" s="773">
        <f t="shared" si="2"/>
        <v>1550182</v>
      </c>
      <c r="E42" s="772"/>
      <c r="F42" s="772"/>
      <c r="G42" s="769"/>
      <c r="H42" s="769"/>
      <c r="I42" s="769"/>
      <c r="J42" s="769"/>
      <c r="K42" s="770"/>
      <c r="L42" s="770">
        <v>1550182</v>
      </c>
      <c r="M42" s="769"/>
      <c r="N42" s="769"/>
      <c r="O42" s="769"/>
      <c r="P42" s="769"/>
    </row>
    <row r="43" spans="1:16" s="77" customFormat="1" ht="12">
      <c r="A43" s="446" t="s">
        <v>805</v>
      </c>
      <c r="B43" s="1086" t="s">
        <v>892</v>
      </c>
      <c r="C43" s="773"/>
      <c r="D43" s="773">
        <f t="shared" si="2"/>
        <v>170000</v>
      </c>
      <c r="E43" s="772"/>
      <c r="F43" s="772"/>
      <c r="G43" s="769"/>
      <c r="H43" s="769"/>
      <c r="I43" s="769"/>
      <c r="J43" s="769"/>
      <c r="K43" s="770"/>
      <c r="L43" s="770">
        <v>170000</v>
      </c>
      <c r="M43" s="769"/>
      <c r="N43" s="769"/>
      <c r="O43" s="769"/>
      <c r="P43" s="769"/>
    </row>
    <row r="44" spans="1:16" s="77" customFormat="1" ht="12">
      <c r="A44" s="446" t="s">
        <v>806</v>
      </c>
      <c r="B44" s="1086" t="s">
        <v>904</v>
      </c>
      <c r="C44" s="773"/>
      <c r="D44" s="773">
        <f t="shared" si="2"/>
        <v>40963</v>
      </c>
      <c r="E44" s="772"/>
      <c r="F44" s="772">
        <v>40963</v>
      </c>
      <c r="G44" s="769"/>
      <c r="H44" s="769"/>
      <c r="I44" s="769"/>
      <c r="J44" s="769"/>
      <c r="K44" s="770"/>
      <c r="L44" s="770"/>
      <c r="M44" s="769"/>
      <c r="N44" s="769"/>
      <c r="O44" s="769"/>
      <c r="P44" s="769"/>
    </row>
    <row r="45" spans="1:16" s="77" customFormat="1" ht="12">
      <c r="A45" s="446" t="s">
        <v>807</v>
      </c>
      <c r="B45" s="447" t="s">
        <v>846</v>
      </c>
      <c r="C45" s="773">
        <f t="shared" si="2"/>
        <v>0</v>
      </c>
      <c r="D45" s="773">
        <f t="shared" si="2"/>
        <v>942340</v>
      </c>
      <c r="E45" s="769"/>
      <c r="F45" s="770">
        <v>942340</v>
      </c>
      <c r="G45" s="769"/>
      <c r="H45" s="769"/>
      <c r="I45" s="769"/>
      <c r="J45" s="769"/>
      <c r="K45" s="770"/>
      <c r="L45" s="770"/>
      <c r="M45" s="769"/>
      <c r="N45" s="769"/>
      <c r="O45" s="769"/>
      <c r="P45" s="769"/>
    </row>
    <row r="46" spans="1:16" s="77" customFormat="1" ht="12" hidden="1">
      <c r="A46" s="446" t="s">
        <v>803</v>
      </c>
      <c r="B46" s="426"/>
      <c r="C46" s="773"/>
      <c r="D46" s="773"/>
      <c r="E46" s="770"/>
      <c r="F46" s="770"/>
      <c r="G46" s="770"/>
      <c r="H46" s="770"/>
      <c r="I46" s="770"/>
      <c r="J46" s="770"/>
      <c r="K46" s="770"/>
      <c r="L46" s="770"/>
      <c r="M46" s="770"/>
      <c r="N46" s="770"/>
      <c r="O46" s="770"/>
      <c r="P46" s="770"/>
    </row>
    <row r="47" spans="1:16" s="77" customFormat="1" ht="12" hidden="1">
      <c r="A47" s="446" t="s">
        <v>804</v>
      </c>
      <c r="B47" s="426"/>
      <c r="C47" s="773"/>
      <c r="D47" s="773"/>
      <c r="E47" s="770"/>
      <c r="F47" s="770"/>
      <c r="G47" s="770"/>
      <c r="H47" s="770"/>
      <c r="I47" s="770"/>
      <c r="J47" s="770"/>
      <c r="K47" s="770"/>
      <c r="L47" s="770"/>
      <c r="M47" s="770"/>
      <c r="N47" s="770"/>
      <c r="O47" s="770"/>
      <c r="P47" s="770"/>
    </row>
    <row r="48" spans="1:16" s="77" customFormat="1" ht="12" hidden="1">
      <c r="A48" s="446" t="s">
        <v>805</v>
      </c>
      <c r="B48" s="426"/>
      <c r="C48" s="773"/>
      <c r="D48" s="773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</row>
    <row r="49" spans="1:16" s="77" customFormat="1" ht="12" hidden="1">
      <c r="A49" s="446" t="s">
        <v>806</v>
      </c>
      <c r="B49" s="426"/>
      <c r="C49" s="773"/>
      <c r="D49" s="773"/>
      <c r="E49" s="770"/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</row>
    <row r="50" spans="1:16" s="77" customFormat="1" ht="12" hidden="1">
      <c r="A50" s="446" t="s">
        <v>807</v>
      </c>
      <c r="B50" s="426"/>
      <c r="C50" s="773"/>
      <c r="D50" s="773"/>
      <c r="E50" s="770"/>
      <c r="F50" s="770"/>
      <c r="G50" s="770"/>
      <c r="H50" s="770"/>
      <c r="I50" s="770"/>
      <c r="J50" s="770"/>
      <c r="K50" s="770"/>
      <c r="L50" s="770"/>
      <c r="M50" s="770"/>
      <c r="N50" s="770"/>
      <c r="O50" s="770"/>
      <c r="P50" s="770"/>
    </row>
    <row r="51" spans="1:16" s="77" customFormat="1" ht="12">
      <c r="A51" s="446"/>
      <c r="B51" s="453" t="s">
        <v>71</v>
      </c>
      <c r="C51" s="774">
        <f>E51+G51+I51+K51+M51+O51</f>
        <v>915580011</v>
      </c>
      <c r="D51" s="774">
        <f>F51+H51+J51+L51+N51+P51</f>
        <v>1233006384</v>
      </c>
      <c r="E51" s="775">
        <f aca="true" t="shared" si="3" ref="E51:P51">SUM(E8:E50)</f>
        <v>899468511</v>
      </c>
      <c r="F51" s="775">
        <f t="shared" si="3"/>
        <v>1212663670</v>
      </c>
      <c r="G51" s="775">
        <f t="shared" si="3"/>
        <v>1270000</v>
      </c>
      <c r="H51" s="775">
        <f t="shared" si="3"/>
        <v>1270000</v>
      </c>
      <c r="I51" s="775">
        <f t="shared" si="3"/>
        <v>2273553</v>
      </c>
      <c r="J51" s="775">
        <f t="shared" si="3"/>
        <v>3386487</v>
      </c>
      <c r="K51" s="775">
        <f t="shared" si="3"/>
        <v>287000</v>
      </c>
      <c r="L51" s="775">
        <f t="shared" si="3"/>
        <v>2007182</v>
      </c>
      <c r="M51" s="775">
        <f t="shared" si="3"/>
        <v>635000</v>
      </c>
      <c r="N51" s="775">
        <f t="shared" si="3"/>
        <v>635000</v>
      </c>
      <c r="O51" s="775">
        <f t="shared" si="3"/>
        <v>11645947</v>
      </c>
      <c r="P51" s="775">
        <f t="shared" si="3"/>
        <v>13044045</v>
      </c>
    </row>
    <row r="52" spans="1:16" s="77" customFormat="1" ht="12">
      <c r="A52" s="157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  <c r="N52" s="776"/>
      <c r="O52" s="776"/>
      <c r="P52" s="776"/>
    </row>
    <row r="53" spans="1:16" s="77" customFormat="1" ht="12">
      <c r="A53" s="157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</row>
    <row r="54" spans="1:16" s="77" customFormat="1" ht="12">
      <c r="A54" s="157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  <c r="N54" s="776"/>
      <c r="O54" s="776"/>
      <c r="P54" s="776"/>
    </row>
    <row r="55" spans="1:16" s="77" customFormat="1" ht="12">
      <c r="A55" s="157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</row>
    <row r="56" spans="3:16" s="77" customFormat="1" ht="12">
      <c r="C56" s="776"/>
      <c r="D56" s="776"/>
      <c r="E56" s="776"/>
      <c r="F56" s="776"/>
      <c r="G56" s="776"/>
      <c r="H56" s="776"/>
      <c r="I56" s="776"/>
      <c r="J56" s="776"/>
      <c r="K56" s="776">
        <f>G51+I51+K51+M51+O51</f>
        <v>16111500</v>
      </c>
      <c r="L56" s="776">
        <f>H51+J51+L51+N51+P51</f>
        <v>20342714</v>
      </c>
      <c r="M56" s="776"/>
      <c r="N56" s="776"/>
      <c r="O56" s="776"/>
      <c r="P56" s="776"/>
    </row>
    <row r="57" spans="3:16" s="77" customFormat="1" ht="12"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</row>
    <row r="58" s="77" customFormat="1" ht="12"/>
    <row r="59" s="77" customFormat="1" ht="12"/>
    <row r="60" s="77" customFormat="1" ht="12"/>
    <row r="61" s="77" customFormat="1" ht="12"/>
    <row r="62" s="77" customFormat="1" ht="12"/>
    <row r="63" s="77" customFormat="1" ht="12"/>
    <row r="64" s="77" customFormat="1" ht="12"/>
    <row r="65" s="77" customFormat="1" ht="12"/>
    <row r="66" s="77" customFormat="1" ht="12"/>
    <row r="67" s="77" customFormat="1" ht="12"/>
    <row r="68" s="77" customFormat="1" ht="12"/>
    <row r="69" s="77" customFormat="1" ht="12"/>
    <row r="70" s="77" customFormat="1" ht="12"/>
    <row r="71" s="77" customFormat="1" ht="12"/>
    <row r="72" s="77" customFormat="1" ht="12"/>
    <row r="73" s="77" customFormat="1" ht="12"/>
    <row r="74" s="77" customFormat="1" ht="12"/>
  </sheetData>
  <sheetProtection/>
  <mergeCells count="9">
    <mergeCell ref="C6:D6"/>
    <mergeCell ref="E6:F6"/>
    <mergeCell ref="G6:H6"/>
    <mergeCell ref="B4:O4"/>
    <mergeCell ref="I6:J6"/>
    <mergeCell ref="K6:L6"/>
    <mergeCell ref="M6:N6"/>
    <mergeCell ref="O6:P6"/>
    <mergeCell ref="A6:B7"/>
  </mergeCells>
  <printOptions horizontalCentered="1"/>
  <pageMargins left="0.15748031496062992" right="0.15748031496062992" top="0.8661417322834646" bottom="0" header="0.11811023622047245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Q62"/>
  <sheetViews>
    <sheetView zoomScalePageLayoutView="0" workbookViewId="0" topLeftCell="A11">
      <selection activeCell="J30" sqref="J30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48.25390625" style="0" customWidth="1"/>
    <col min="4" max="4" width="11.25390625" style="0" customWidth="1"/>
    <col min="5" max="5" width="11.375" style="0" customWidth="1"/>
    <col min="6" max="6" width="11.125" style="0" customWidth="1"/>
    <col min="7" max="7" width="13.00390625" style="0" customWidth="1"/>
    <col min="8" max="8" width="5.375" style="0" customWidth="1"/>
    <col min="9" max="9" width="10.75390625" style="0" customWidth="1"/>
    <col min="10" max="10" width="9.875" style="0" customWidth="1"/>
    <col min="11" max="11" width="10.75390625" style="0" customWidth="1"/>
    <col min="12" max="12" width="5.375" style="0" customWidth="1"/>
    <col min="13" max="13" width="10.875" style="0" customWidth="1"/>
    <col min="14" max="14" width="5.375" style="0" customWidth="1"/>
    <col min="15" max="15" width="10.75390625" style="0" customWidth="1"/>
    <col min="16" max="16" width="7.375" style="0" customWidth="1"/>
    <col min="17" max="17" width="9.375" style="0" customWidth="1"/>
    <col min="18" max="18" width="9.625" style="0" customWidth="1"/>
    <col min="20" max="20" width="7.625" style="0" customWidth="1"/>
  </cols>
  <sheetData>
    <row r="1" spans="2:3" s="5" customFormat="1" ht="12">
      <c r="B1" s="4" t="s">
        <v>275</v>
      </c>
      <c r="C1" s="107" t="str">
        <f>'bev-int'!B1</f>
        <v>melléklet a …/2024. (III.  .) önkormányzati rendelethez</v>
      </c>
    </row>
    <row r="2" spans="3:5" s="5" customFormat="1" ht="12">
      <c r="C2" s="1179"/>
      <c r="D2" s="1179"/>
      <c r="E2" s="1179"/>
    </row>
    <row r="3" spans="3:16" s="5" customFormat="1" ht="12">
      <c r="C3" s="1179" t="s">
        <v>710</v>
      </c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</row>
    <row r="4" s="5" customFormat="1" ht="9" customHeight="1">
      <c r="C4" s="6"/>
    </row>
    <row r="5" spans="3:16" s="5" customFormat="1" ht="12">
      <c r="C5" s="6"/>
      <c r="P5" s="77" t="s">
        <v>705</v>
      </c>
    </row>
    <row r="6" spans="2:17" s="77" customFormat="1" ht="46.5" customHeight="1">
      <c r="B6" s="454" t="s">
        <v>359</v>
      </c>
      <c r="C6" s="455" t="s">
        <v>55</v>
      </c>
      <c r="D6" s="1180" t="s">
        <v>349</v>
      </c>
      <c r="E6" s="1180"/>
      <c r="F6" s="1177" t="s">
        <v>56</v>
      </c>
      <c r="G6" s="1177"/>
      <c r="H6" s="1177" t="s">
        <v>543</v>
      </c>
      <c r="I6" s="1177"/>
      <c r="J6" s="1177" t="s">
        <v>350</v>
      </c>
      <c r="K6" s="1177"/>
      <c r="L6" s="1177" t="s">
        <v>57</v>
      </c>
      <c r="M6" s="1177"/>
      <c r="N6" s="1177" t="s">
        <v>58</v>
      </c>
      <c r="O6" s="1177"/>
      <c r="P6" s="1177" t="s">
        <v>234</v>
      </c>
      <c r="Q6" s="1177"/>
    </row>
    <row r="7" spans="2:17" s="77" customFormat="1" ht="12">
      <c r="B7" s="454"/>
      <c r="C7" s="455"/>
      <c r="D7" s="443" t="s">
        <v>465</v>
      </c>
      <c r="E7" s="443" t="s">
        <v>466</v>
      </c>
      <c r="F7" s="443" t="s">
        <v>465</v>
      </c>
      <c r="G7" s="443" t="s">
        <v>466</v>
      </c>
      <c r="H7" s="443" t="s">
        <v>467</v>
      </c>
      <c r="I7" s="443" t="s">
        <v>468</v>
      </c>
      <c r="J7" s="443" t="s">
        <v>467</v>
      </c>
      <c r="K7" s="443" t="s">
        <v>468</v>
      </c>
      <c r="L7" s="443" t="s">
        <v>467</v>
      </c>
      <c r="M7" s="443" t="s">
        <v>468</v>
      </c>
      <c r="N7" s="443" t="s">
        <v>467</v>
      </c>
      <c r="O7" s="443" t="s">
        <v>468</v>
      </c>
      <c r="P7" s="443" t="s">
        <v>467</v>
      </c>
      <c r="Q7" s="443" t="s">
        <v>468</v>
      </c>
    </row>
    <row r="8" spans="2:17" s="158" customFormat="1" ht="22.5" customHeight="1">
      <c r="B8" s="446" t="s">
        <v>351</v>
      </c>
      <c r="C8" s="1086" t="s">
        <v>800</v>
      </c>
      <c r="D8" s="777">
        <f aca="true" t="shared" si="0" ref="D8:E28">F8+H8+J8+L8+N8+P8</f>
        <v>1500000</v>
      </c>
      <c r="E8" s="777">
        <f t="shared" si="0"/>
        <v>1500000</v>
      </c>
      <c r="F8" s="783">
        <v>1500000</v>
      </c>
      <c r="G8" s="769">
        <v>1500000</v>
      </c>
      <c r="H8" s="768"/>
      <c r="I8" s="768"/>
      <c r="J8" s="779"/>
      <c r="K8" s="779"/>
      <c r="L8" s="779"/>
      <c r="M8" s="779"/>
      <c r="N8" s="779"/>
      <c r="O8" s="779"/>
      <c r="P8" s="779"/>
      <c r="Q8" s="779"/>
    </row>
    <row r="9" spans="2:17" s="158" customFormat="1" ht="18" customHeight="1">
      <c r="B9" s="446" t="s">
        <v>95</v>
      </c>
      <c r="C9" s="447" t="s">
        <v>598</v>
      </c>
      <c r="D9" s="777">
        <f t="shared" si="0"/>
        <v>12700000</v>
      </c>
      <c r="E9" s="777">
        <f t="shared" si="0"/>
        <v>12700000</v>
      </c>
      <c r="F9" s="783">
        <v>12700000</v>
      </c>
      <c r="G9" s="769">
        <v>12700000</v>
      </c>
      <c r="H9" s="768"/>
      <c r="I9" s="768"/>
      <c r="J9" s="779"/>
      <c r="K9" s="779"/>
      <c r="L9" s="779"/>
      <c r="M9" s="779"/>
      <c r="N9" s="779"/>
      <c r="O9" s="779"/>
      <c r="P9" s="779"/>
      <c r="Q9" s="779"/>
    </row>
    <row r="10" spans="2:17" s="158" customFormat="1" ht="24" customHeight="1">
      <c r="B10" s="446" t="s">
        <v>352</v>
      </c>
      <c r="C10" s="447" t="s">
        <v>768</v>
      </c>
      <c r="D10" s="777">
        <f t="shared" si="0"/>
        <v>3810000</v>
      </c>
      <c r="E10" s="777">
        <f t="shared" si="0"/>
        <v>3810000</v>
      </c>
      <c r="F10" s="783">
        <v>3810000</v>
      </c>
      <c r="G10" s="769">
        <v>3810000</v>
      </c>
      <c r="H10" s="768"/>
      <c r="I10" s="768"/>
      <c r="J10" s="779"/>
      <c r="K10" s="779"/>
      <c r="L10" s="779"/>
      <c r="M10" s="779"/>
      <c r="N10" s="779"/>
      <c r="O10" s="779"/>
      <c r="P10" s="779"/>
      <c r="Q10" s="779"/>
    </row>
    <row r="11" spans="2:17" s="158" customFormat="1" ht="33.75">
      <c r="B11" s="446" t="s">
        <v>96</v>
      </c>
      <c r="C11" s="589" t="s">
        <v>769</v>
      </c>
      <c r="D11" s="777">
        <f t="shared" si="0"/>
        <v>153652588</v>
      </c>
      <c r="E11" s="777">
        <f t="shared" si="0"/>
        <v>153652588</v>
      </c>
      <c r="F11" s="783">
        <f>120986290+32666298</f>
        <v>153652588</v>
      </c>
      <c r="G11" s="769">
        <f>120986290+32666298</f>
        <v>153652588</v>
      </c>
      <c r="H11" s="768"/>
      <c r="I11" s="768"/>
      <c r="J11" s="779"/>
      <c r="K11" s="779"/>
      <c r="L11" s="779"/>
      <c r="M11" s="779"/>
      <c r="N11" s="779"/>
      <c r="O11" s="779"/>
      <c r="P11" s="779"/>
      <c r="Q11" s="779"/>
    </row>
    <row r="12" spans="2:17" s="158" customFormat="1" ht="24.75" customHeight="1">
      <c r="B12" s="446" t="s">
        <v>97</v>
      </c>
      <c r="C12" s="614" t="s">
        <v>770</v>
      </c>
      <c r="D12" s="777">
        <f t="shared" si="0"/>
        <v>800000</v>
      </c>
      <c r="E12" s="777">
        <f t="shared" si="0"/>
        <v>800000</v>
      </c>
      <c r="F12" s="783">
        <v>800000</v>
      </c>
      <c r="G12" s="769">
        <v>800000</v>
      </c>
      <c r="H12" s="768"/>
      <c r="I12" s="768"/>
      <c r="J12" s="779"/>
      <c r="K12" s="779"/>
      <c r="L12" s="779"/>
      <c r="M12" s="779"/>
      <c r="N12" s="779"/>
      <c r="O12" s="779"/>
      <c r="P12" s="779"/>
      <c r="Q12" s="779"/>
    </row>
    <row r="13" spans="2:17" s="158" customFormat="1" ht="18" customHeight="1">
      <c r="B13" s="446" t="s">
        <v>98</v>
      </c>
      <c r="C13" s="447" t="s">
        <v>771</v>
      </c>
      <c r="D13" s="777">
        <f t="shared" si="0"/>
        <v>1138136</v>
      </c>
      <c r="E13" s="777">
        <f t="shared" si="0"/>
        <v>1138136</v>
      </c>
      <c r="F13" s="783">
        <v>1138136</v>
      </c>
      <c r="G13" s="769">
        <v>1138136</v>
      </c>
      <c r="H13" s="768"/>
      <c r="I13" s="768"/>
      <c r="J13" s="779"/>
      <c r="K13" s="779"/>
      <c r="L13" s="779"/>
      <c r="M13" s="779"/>
      <c r="N13" s="779"/>
      <c r="O13" s="779"/>
      <c r="P13" s="779"/>
      <c r="Q13" s="779"/>
    </row>
    <row r="14" spans="2:17" s="158" customFormat="1" ht="18" customHeight="1">
      <c r="B14" s="446" t="s">
        <v>99</v>
      </c>
      <c r="C14" s="447" t="s">
        <v>772</v>
      </c>
      <c r="D14" s="777">
        <f t="shared" si="0"/>
        <v>181362350</v>
      </c>
      <c r="E14" s="777">
        <f t="shared" si="0"/>
        <v>181362350</v>
      </c>
      <c r="F14" s="783">
        <v>181362350</v>
      </c>
      <c r="G14" s="769">
        <v>181362350</v>
      </c>
      <c r="H14" s="768"/>
      <c r="I14" s="768"/>
      <c r="J14" s="779"/>
      <c r="K14" s="779"/>
      <c r="L14" s="779"/>
      <c r="M14" s="779"/>
      <c r="N14" s="779"/>
      <c r="O14" s="779"/>
      <c r="P14" s="779"/>
      <c r="Q14" s="779"/>
    </row>
    <row r="15" spans="2:17" s="158" customFormat="1" ht="24" customHeight="1">
      <c r="B15" s="446" t="s">
        <v>332</v>
      </c>
      <c r="C15" s="447" t="s">
        <v>773</v>
      </c>
      <c r="D15" s="777">
        <f t="shared" si="0"/>
        <v>1162156546</v>
      </c>
      <c r="E15" s="777">
        <f t="shared" si="0"/>
        <v>1162156546</v>
      </c>
      <c r="F15" s="783">
        <v>1162156546</v>
      </c>
      <c r="G15" s="769">
        <v>1162156546</v>
      </c>
      <c r="H15" s="768"/>
      <c r="I15" s="768"/>
      <c r="J15" s="779"/>
      <c r="K15" s="779"/>
      <c r="L15" s="779"/>
      <c r="M15" s="779"/>
      <c r="N15" s="779"/>
      <c r="O15" s="779"/>
      <c r="P15" s="779"/>
      <c r="Q15" s="779"/>
    </row>
    <row r="16" spans="2:17" s="158" customFormat="1" ht="24" customHeight="1">
      <c r="B16" s="446" t="s">
        <v>100</v>
      </c>
      <c r="C16" s="447" t="s">
        <v>907</v>
      </c>
      <c r="D16" s="777"/>
      <c r="E16" s="777">
        <f t="shared" si="0"/>
        <v>314960630</v>
      </c>
      <c r="F16" s="783"/>
      <c r="G16" s="769">
        <v>314960630</v>
      </c>
      <c r="H16" s="768"/>
      <c r="I16" s="768"/>
      <c r="J16" s="779"/>
      <c r="K16" s="779"/>
      <c r="L16" s="779"/>
      <c r="M16" s="779"/>
      <c r="N16" s="779"/>
      <c r="O16" s="779"/>
      <c r="P16" s="779"/>
      <c r="Q16" s="779"/>
    </row>
    <row r="17" spans="2:17" s="158" customFormat="1" ht="24" customHeight="1">
      <c r="B17" s="446" t="s">
        <v>333</v>
      </c>
      <c r="C17" s="447" t="s">
        <v>490</v>
      </c>
      <c r="D17" s="777">
        <f t="shared" si="0"/>
        <v>5000000</v>
      </c>
      <c r="E17" s="777">
        <f t="shared" si="0"/>
        <v>5000000</v>
      </c>
      <c r="F17" s="783">
        <v>5000000</v>
      </c>
      <c r="G17" s="769">
        <v>5000000</v>
      </c>
      <c r="H17" s="768"/>
      <c r="I17" s="768"/>
      <c r="J17" s="779"/>
      <c r="K17" s="779"/>
      <c r="L17" s="779"/>
      <c r="M17" s="779"/>
      <c r="N17" s="779"/>
      <c r="O17" s="779"/>
      <c r="P17" s="779"/>
      <c r="Q17" s="779"/>
    </row>
    <row r="18" spans="2:17" s="158" customFormat="1" ht="24" customHeight="1">
      <c r="B18" s="446" t="s">
        <v>101</v>
      </c>
      <c r="C18" s="447" t="s">
        <v>774</v>
      </c>
      <c r="D18" s="777">
        <f t="shared" si="0"/>
        <v>19050000</v>
      </c>
      <c r="E18" s="777">
        <f t="shared" si="0"/>
        <v>19050000</v>
      </c>
      <c r="F18" s="783">
        <v>19050000</v>
      </c>
      <c r="G18" s="769">
        <v>19050000</v>
      </c>
      <c r="H18" s="768"/>
      <c r="I18" s="768"/>
      <c r="J18" s="779"/>
      <c r="K18" s="779"/>
      <c r="L18" s="779"/>
      <c r="M18" s="779"/>
      <c r="N18" s="779"/>
      <c r="O18" s="779"/>
      <c r="P18" s="779"/>
      <c r="Q18" s="779"/>
    </row>
    <row r="19" spans="2:17" s="158" customFormat="1" ht="24" customHeight="1">
      <c r="B19" s="446" t="s">
        <v>102</v>
      </c>
      <c r="C19" s="447" t="s">
        <v>599</v>
      </c>
      <c r="D19" s="777">
        <f t="shared" si="0"/>
        <v>5000000</v>
      </c>
      <c r="E19" s="777">
        <f t="shared" si="0"/>
        <v>5000000</v>
      </c>
      <c r="F19" s="783">
        <v>5000000</v>
      </c>
      <c r="G19" s="769">
        <v>5000000</v>
      </c>
      <c r="H19" s="768"/>
      <c r="I19" s="768"/>
      <c r="J19" s="779"/>
      <c r="K19" s="779"/>
      <c r="L19" s="779"/>
      <c r="M19" s="779"/>
      <c r="N19" s="779"/>
      <c r="O19" s="779"/>
      <c r="P19" s="779"/>
      <c r="Q19" s="779"/>
    </row>
    <row r="20" spans="2:17" s="158" customFormat="1" ht="22.5" customHeight="1">
      <c r="B20" s="446" t="s">
        <v>103</v>
      </c>
      <c r="C20" s="447" t="s">
        <v>747</v>
      </c>
      <c r="D20" s="777">
        <f t="shared" si="0"/>
        <v>949999</v>
      </c>
      <c r="E20" s="777">
        <f t="shared" si="0"/>
        <v>0</v>
      </c>
      <c r="F20" s="778"/>
      <c r="G20" s="769"/>
      <c r="H20" s="768"/>
      <c r="I20" s="768"/>
      <c r="J20" s="779">
        <v>949999</v>
      </c>
      <c r="K20" s="779"/>
      <c r="L20" s="779"/>
      <c r="M20" s="779"/>
      <c r="N20" s="779"/>
      <c r="O20" s="779"/>
      <c r="P20" s="779"/>
      <c r="Q20" s="779"/>
    </row>
    <row r="21" spans="2:17" s="158" customFormat="1" ht="24" customHeight="1">
      <c r="B21" s="446" t="s">
        <v>334</v>
      </c>
      <c r="C21" s="447" t="s">
        <v>853</v>
      </c>
      <c r="D21" s="777">
        <f t="shared" si="0"/>
        <v>0</v>
      </c>
      <c r="E21" s="777">
        <f t="shared" si="0"/>
        <v>402232</v>
      </c>
      <c r="F21" s="778"/>
      <c r="G21" s="769">
        <v>402232</v>
      </c>
      <c r="H21" s="768"/>
      <c r="I21" s="768"/>
      <c r="J21" s="779"/>
      <c r="K21" s="779"/>
      <c r="L21" s="779"/>
      <c r="M21" s="779"/>
      <c r="N21" s="779"/>
      <c r="O21" s="779"/>
      <c r="P21" s="779"/>
      <c r="Q21" s="779"/>
    </row>
    <row r="22" spans="2:17" s="158" customFormat="1" ht="24" customHeight="1">
      <c r="B22" s="446" t="s">
        <v>353</v>
      </c>
      <c r="C22" s="447" t="s">
        <v>854</v>
      </c>
      <c r="D22" s="777"/>
      <c r="E22" s="777">
        <f t="shared" si="0"/>
        <v>16458946</v>
      </c>
      <c r="F22" s="778"/>
      <c r="G22" s="769">
        <f>12959800+3499146</f>
        <v>16458946</v>
      </c>
      <c r="H22" s="768"/>
      <c r="I22" s="768"/>
      <c r="J22" s="779"/>
      <c r="K22" s="779"/>
      <c r="L22" s="779"/>
      <c r="M22" s="779"/>
      <c r="N22" s="779"/>
      <c r="O22" s="779"/>
      <c r="P22" s="779"/>
      <c r="Q22" s="779"/>
    </row>
    <row r="23" spans="2:17" s="158" customFormat="1" ht="24" customHeight="1">
      <c r="B23" s="446" t="s">
        <v>335</v>
      </c>
      <c r="C23" s="447" t="s">
        <v>856</v>
      </c>
      <c r="D23" s="777"/>
      <c r="E23" s="777">
        <f t="shared" si="0"/>
        <v>4572000</v>
      </c>
      <c r="F23" s="778"/>
      <c r="G23" s="769">
        <f>3600000+972000</f>
        <v>4572000</v>
      </c>
      <c r="H23" s="768"/>
      <c r="I23" s="768"/>
      <c r="J23" s="779"/>
      <c r="K23" s="779"/>
      <c r="L23" s="779"/>
      <c r="M23" s="779"/>
      <c r="N23" s="779"/>
      <c r="O23" s="779"/>
      <c r="P23" s="779"/>
      <c r="Q23" s="779"/>
    </row>
    <row r="24" spans="2:17" s="158" customFormat="1" ht="24" customHeight="1">
      <c r="B24" s="446" t="s">
        <v>130</v>
      </c>
      <c r="C24" s="447" t="s">
        <v>857</v>
      </c>
      <c r="D24" s="777"/>
      <c r="E24" s="777">
        <f t="shared" si="0"/>
        <v>79252336</v>
      </c>
      <c r="F24" s="778"/>
      <c r="G24" s="769">
        <f>58871145+15895210+3532269+953712</f>
        <v>79252336</v>
      </c>
      <c r="H24" s="768"/>
      <c r="I24" s="768"/>
      <c r="J24" s="779"/>
      <c r="K24" s="779"/>
      <c r="L24" s="779"/>
      <c r="M24" s="779"/>
      <c r="N24" s="779"/>
      <c r="O24" s="779"/>
      <c r="P24" s="779"/>
      <c r="Q24" s="779"/>
    </row>
    <row r="25" spans="2:17" s="158" customFormat="1" ht="24" customHeight="1">
      <c r="B25" s="446" t="s">
        <v>131</v>
      </c>
      <c r="C25" s="447" t="s">
        <v>858</v>
      </c>
      <c r="D25" s="777"/>
      <c r="E25" s="777">
        <f t="shared" si="0"/>
        <v>149474199</v>
      </c>
      <c r="F25" s="778"/>
      <c r="G25" s="769">
        <f>109977953+29694047+7726457+2086143-10401</f>
        <v>149474199</v>
      </c>
      <c r="H25" s="768"/>
      <c r="I25" s="768"/>
      <c r="J25" s="779"/>
      <c r="K25" s="779"/>
      <c r="L25" s="779"/>
      <c r="M25" s="779"/>
      <c r="N25" s="779"/>
      <c r="O25" s="779"/>
      <c r="P25" s="779"/>
      <c r="Q25" s="779"/>
    </row>
    <row r="26" spans="2:17" s="158" customFormat="1" ht="24" customHeight="1">
      <c r="B26" s="446" t="s">
        <v>132</v>
      </c>
      <c r="C26" s="447" t="s">
        <v>908</v>
      </c>
      <c r="D26" s="777"/>
      <c r="E26" s="777">
        <f t="shared" si="0"/>
        <v>370770</v>
      </c>
      <c r="F26" s="778"/>
      <c r="G26" s="769">
        <v>370770</v>
      </c>
      <c r="H26" s="768"/>
      <c r="I26" s="768"/>
      <c r="J26" s="779"/>
      <c r="K26" s="779"/>
      <c r="L26" s="779"/>
      <c r="M26" s="779"/>
      <c r="N26" s="779"/>
      <c r="O26" s="779"/>
      <c r="P26" s="779"/>
      <c r="Q26" s="779"/>
    </row>
    <row r="27" spans="2:17" s="158" customFormat="1" ht="24" customHeight="1">
      <c r="B27" s="446" t="s">
        <v>354</v>
      </c>
      <c r="C27" s="447" t="s">
        <v>859</v>
      </c>
      <c r="D27" s="777"/>
      <c r="E27" s="777">
        <f t="shared" si="0"/>
        <v>442557</v>
      </c>
      <c r="F27" s="778"/>
      <c r="G27" s="769">
        <v>442557</v>
      </c>
      <c r="H27" s="768"/>
      <c r="I27" s="768"/>
      <c r="J27" s="779"/>
      <c r="K27" s="779"/>
      <c r="L27" s="779"/>
      <c r="M27" s="779"/>
      <c r="N27" s="779"/>
      <c r="O27" s="779"/>
      <c r="P27" s="779"/>
      <c r="Q27" s="779"/>
    </row>
    <row r="28" spans="2:17" s="158" customFormat="1" ht="18" customHeight="1">
      <c r="B28" s="446" t="s">
        <v>355</v>
      </c>
      <c r="C28" s="456" t="s">
        <v>860</v>
      </c>
      <c r="D28" s="777">
        <f t="shared" si="0"/>
        <v>0</v>
      </c>
      <c r="E28" s="777">
        <f t="shared" si="0"/>
        <v>2466435</v>
      </c>
      <c r="F28" s="768"/>
      <c r="G28" s="768">
        <f>1942075+524360</f>
        <v>2466435</v>
      </c>
      <c r="H28" s="768"/>
      <c r="I28" s="768"/>
      <c r="J28" s="779"/>
      <c r="K28" s="779"/>
      <c r="L28" s="779"/>
      <c r="M28" s="779"/>
      <c r="N28" s="779"/>
      <c r="O28" s="779"/>
      <c r="P28" s="779"/>
      <c r="Q28" s="779"/>
    </row>
    <row r="29" spans="2:17" s="158" customFormat="1" ht="18" customHeight="1">
      <c r="B29" s="457"/>
      <c r="C29" s="458" t="s">
        <v>349</v>
      </c>
      <c r="D29" s="780">
        <f>F29+H29+J29+L29+N29+P29</f>
        <v>1547119619</v>
      </c>
      <c r="E29" s="780">
        <f>G29+I29+K29+M29+O29+Q29</f>
        <v>2114569725</v>
      </c>
      <c r="F29" s="781">
        <f aca="true" t="shared" si="1" ref="F29:Q29">SUM(F8:F28)</f>
        <v>1546169620</v>
      </c>
      <c r="G29" s="781">
        <f>SUM(G8:G28)</f>
        <v>2114569725</v>
      </c>
      <c r="H29" s="782">
        <f t="shared" si="1"/>
        <v>0</v>
      </c>
      <c r="I29" s="782">
        <f t="shared" si="1"/>
        <v>0</v>
      </c>
      <c r="J29" s="782">
        <f t="shared" si="1"/>
        <v>949999</v>
      </c>
      <c r="K29" s="782">
        <f t="shared" si="1"/>
        <v>0</v>
      </c>
      <c r="L29" s="782">
        <f t="shared" si="1"/>
        <v>0</v>
      </c>
      <c r="M29" s="782">
        <f t="shared" si="1"/>
        <v>0</v>
      </c>
      <c r="N29" s="782">
        <f t="shared" si="1"/>
        <v>0</v>
      </c>
      <c r="O29" s="782">
        <f t="shared" si="1"/>
        <v>0</v>
      </c>
      <c r="P29" s="782">
        <f t="shared" si="1"/>
        <v>0</v>
      </c>
      <c r="Q29" s="782">
        <f t="shared" si="1"/>
        <v>0</v>
      </c>
    </row>
    <row r="30" spans="3:9" s="77" customFormat="1" ht="18" customHeight="1">
      <c r="C30" s="108"/>
      <c r="D30" s="108"/>
      <c r="E30" s="108"/>
      <c r="F30" s="108"/>
      <c r="G30" s="108"/>
      <c r="H30" s="108"/>
      <c r="I30" s="108"/>
    </row>
    <row r="31" spans="3:7" s="5" customFormat="1" ht="18" customHeight="1">
      <c r="C31" s="108"/>
      <c r="D31" s="108"/>
      <c r="E31" s="108"/>
      <c r="G31" s="185"/>
    </row>
    <row r="32" spans="3:7" s="5" customFormat="1" ht="18" customHeight="1">
      <c r="C32" s="108"/>
      <c r="D32" s="108"/>
      <c r="E32" s="108"/>
      <c r="G32" s="185"/>
    </row>
    <row r="33" spans="3:7" s="5" customFormat="1" ht="18" customHeight="1">
      <c r="C33" s="108"/>
      <c r="D33" s="108"/>
      <c r="E33" s="503"/>
      <c r="G33" s="185"/>
    </row>
    <row r="34" spans="3:5" s="5" customFormat="1" ht="18" customHeight="1">
      <c r="C34" s="108"/>
      <c r="D34" s="108"/>
      <c r="E34" s="108"/>
    </row>
    <row r="35" spans="3:5" s="5" customFormat="1" ht="18" customHeight="1">
      <c r="C35" s="108"/>
      <c r="D35" s="108"/>
      <c r="E35" s="108"/>
    </row>
    <row r="36" spans="3:5" s="5" customFormat="1" ht="18" customHeight="1">
      <c r="C36" s="77"/>
      <c r="D36" s="77"/>
      <c r="E36" s="77"/>
    </row>
    <row r="37" spans="3:5" s="5" customFormat="1" ht="18" customHeight="1">
      <c r="C37" s="77"/>
      <c r="D37" s="77"/>
      <c r="E37" s="77"/>
    </row>
    <row r="38" spans="3:5" s="5" customFormat="1" ht="18" customHeight="1">
      <c r="C38" s="77"/>
      <c r="D38" s="77"/>
      <c r="E38" s="77"/>
    </row>
    <row r="39" spans="3:5" s="5" customFormat="1" ht="18" customHeight="1">
      <c r="C39" s="77"/>
      <c r="D39" s="77"/>
      <c r="E39" s="77"/>
    </row>
    <row r="40" spans="3:5" s="5" customFormat="1" ht="18" customHeight="1">
      <c r="C40" s="77"/>
      <c r="D40" s="77"/>
      <c r="E40" s="77"/>
    </row>
    <row r="41" spans="3:5" s="5" customFormat="1" ht="18" customHeight="1">
      <c r="C41" s="77"/>
      <c r="D41" s="77"/>
      <c r="E41" s="77"/>
    </row>
    <row r="42" spans="3:5" s="5" customFormat="1" ht="18" customHeight="1">
      <c r="C42" s="77"/>
      <c r="D42" s="77"/>
      <c r="E42" s="77"/>
    </row>
    <row r="43" spans="3:5" s="5" customFormat="1" ht="18" customHeight="1">
      <c r="C43" s="77"/>
      <c r="D43" s="77"/>
      <c r="E43" s="77"/>
    </row>
    <row r="44" spans="3:5" s="5" customFormat="1" ht="18" customHeight="1">
      <c r="C44" s="77"/>
      <c r="D44" s="77"/>
      <c r="E44" s="77"/>
    </row>
    <row r="45" spans="3:5" s="5" customFormat="1" ht="18" customHeight="1">
      <c r="C45" s="77"/>
      <c r="D45" s="77"/>
      <c r="E45" s="77"/>
    </row>
    <row r="46" spans="3:5" s="5" customFormat="1" ht="18" customHeight="1">
      <c r="C46" s="77"/>
      <c r="D46" s="77"/>
      <c r="E46" s="77"/>
    </row>
    <row r="47" spans="3:5" s="5" customFormat="1" ht="18" customHeight="1">
      <c r="C47" s="77"/>
      <c r="D47" s="77"/>
      <c r="E47" s="77"/>
    </row>
    <row r="48" spans="3:5" s="5" customFormat="1" ht="18" customHeight="1">
      <c r="C48" s="77"/>
      <c r="D48" s="77"/>
      <c r="E48" s="77"/>
    </row>
    <row r="49" spans="3:5" s="5" customFormat="1" ht="18" customHeight="1">
      <c r="C49" s="77"/>
      <c r="D49" s="77"/>
      <c r="E49" s="77"/>
    </row>
    <row r="50" spans="3:5" s="5" customFormat="1" ht="18" customHeight="1">
      <c r="C50" s="77"/>
      <c r="D50" s="77"/>
      <c r="E50" s="77"/>
    </row>
    <row r="51" spans="3:5" s="5" customFormat="1" ht="18" customHeight="1">
      <c r="C51" s="77"/>
      <c r="D51" s="77"/>
      <c r="E51" s="77"/>
    </row>
    <row r="52" spans="3:5" s="5" customFormat="1" ht="19.5" customHeight="1">
      <c r="C52" s="77"/>
      <c r="D52" s="77"/>
      <c r="E52" s="77"/>
    </row>
    <row r="53" spans="3:5" s="5" customFormat="1" ht="19.5" customHeight="1">
      <c r="C53" s="77"/>
      <c r="D53" s="77"/>
      <c r="E53" s="77"/>
    </row>
    <row r="54" spans="3:5" s="5" customFormat="1" ht="19.5" customHeight="1">
      <c r="C54" s="77"/>
      <c r="D54" s="77"/>
      <c r="E54" s="77"/>
    </row>
    <row r="55" spans="3:5" s="5" customFormat="1" ht="19.5" customHeight="1">
      <c r="C55" s="77"/>
      <c r="D55" s="77"/>
      <c r="E55" s="77"/>
    </row>
    <row r="56" spans="3:5" s="5" customFormat="1" ht="19.5" customHeight="1">
      <c r="C56" s="77"/>
      <c r="D56" s="77"/>
      <c r="E56" s="77"/>
    </row>
    <row r="57" spans="3:5" s="5" customFormat="1" ht="19.5" customHeight="1">
      <c r="C57" s="77"/>
      <c r="D57" s="77"/>
      <c r="E57" s="77"/>
    </row>
    <row r="58" spans="3:5" s="5" customFormat="1" ht="19.5" customHeight="1">
      <c r="C58" s="77"/>
      <c r="D58" s="77"/>
      <c r="E58" s="77"/>
    </row>
    <row r="59" spans="3:5" s="5" customFormat="1" ht="19.5" customHeight="1">
      <c r="C59" s="77"/>
      <c r="D59" s="77"/>
      <c r="E59" s="77"/>
    </row>
    <row r="60" spans="3:5" s="5" customFormat="1" ht="19.5" customHeight="1">
      <c r="C60" s="77"/>
      <c r="D60" s="77"/>
      <c r="E60" s="77"/>
    </row>
    <row r="61" spans="3:5" s="5" customFormat="1" ht="12">
      <c r="C61" s="77"/>
      <c r="D61" s="77"/>
      <c r="E61" s="77"/>
    </row>
    <row r="62" spans="3:5" s="5" customFormat="1" ht="12">
      <c r="C62" s="77"/>
      <c r="D62" s="77"/>
      <c r="E62" s="77"/>
    </row>
  </sheetData>
  <sheetProtection/>
  <mergeCells count="9">
    <mergeCell ref="J6:K6"/>
    <mergeCell ref="L6:M6"/>
    <mergeCell ref="N6:O6"/>
    <mergeCell ref="P6:Q6"/>
    <mergeCell ref="C2:E2"/>
    <mergeCell ref="D6:E6"/>
    <mergeCell ref="F6:G6"/>
    <mergeCell ref="H6:I6"/>
    <mergeCell ref="C3:P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52.375" style="13" customWidth="1"/>
    <col min="2" max="2" width="53.00390625" style="13" customWidth="1"/>
    <col min="3" max="3" width="16.375" style="13" customWidth="1"/>
    <col min="4" max="4" width="16.375" style="13" hidden="1" customWidth="1"/>
    <col min="5" max="5" width="16.00390625" style="13" hidden="1" customWidth="1"/>
    <col min="6" max="6" width="14.375" style="13" bestFit="1" customWidth="1"/>
    <col min="7" max="7" width="18.125" style="13" customWidth="1"/>
    <col min="8" max="8" width="11.25390625" style="13" customWidth="1"/>
    <col min="9" max="16384" width="9.125" style="13" customWidth="1"/>
  </cols>
  <sheetData>
    <row r="1" spans="1:3" ht="12.75">
      <c r="A1" s="12"/>
      <c r="B1" s="194" t="s">
        <v>96</v>
      </c>
      <c r="C1" s="13" t="str">
        <f>'bev-int'!B1</f>
        <v>melléklet a …/2024. (III.  .) önkormányzati rendelethez</v>
      </c>
    </row>
    <row r="3" spans="1:6" ht="12.75">
      <c r="A3" s="1157" t="s">
        <v>400</v>
      </c>
      <c r="B3" s="1157"/>
      <c r="C3" s="1157"/>
      <c r="D3" s="1157"/>
      <c r="E3" s="1157"/>
      <c r="F3" s="1157"/>
    </row>
    <row r="4" spans="1:6" ht="12.75">
      <c r="A4" s="1157" t="s">
        <v>480</v>
      </c>
      <c r="B4" s="1157"/>
      <c r="C4" s="1157"/>
      <c r="D4" s="1157"/>
      <c r="E4" s="1157"/>
      <c r="F4" s="1157"/>
    </row>
    <row r="5" spans="1:6" ht="12.75">
      <c r="A5" s="94"/>
      <c r="B5" s="94"/>
      <c r="C5" s="94"/>
      <c r="D5" s="94"/>
      <c r="E5" s="94"/>
      <c r="F5" s="94"/>
    </row>
    <row r="6" spans="5:6" ht="12.75">
      <c r="E6" s="12"/>
      <c r="F6" s="194" t="s">
        <v>322</v>
      </c>
    </row>
    <row r="7" spans="1:8" s="92" customFormat="1" ht="38.25">
      <c r="A7" s="193" t="s">
        <v>397</v>
      </c>
      <c r="B7" s="193" t="s">
        <v>398</v>
      </c>
      <c r="C7" s="193" t="s">
        <v>399</v>
      </c>
      <c r="D7" s="193" t="s">
        <v>576</v>
      </c>
      <c r="E7" s="193" t="s">
        <v>577</v>
      </c>
      <c r="F7" s="193" t="s">
        <v>494</v>
      </c>
      <c r="G7" s="525" t="s">
        <v>574</v>
      </c>
      <c r="H7" s="525" t="s">
        <v>575</v>
      </c>
    </row>
    <row r="8" spans="1:8" s="195" customFormat="1" ht="25.5">
      <c r="A8" s="163" t="s">
        <v>392</v>
      </c>
      <c r="B8" s="163" t="s">
        <v>681</v>
      </c>
      <c r="C8" s="308" t="s">
        <v>479</v>
      </c>
      <c r="D8" s="230" t="s">
        <v>796</v>
      </c>
      <c r="E8" s="230">
        <v>0</v>
      </c>
      <c r="F8" s="230">
        <v>672428637</v>
      </c>
      <c r="G8" s="424"/>
      <c r="H8" s="424">
        <v>842422326</v>
      </c>
    </row>
    <row r="9" spans="1:8" s="195" customFormat="1" ht="25.5" hidden="1">
      <c r="A9" s="196"/>
      <c r="B9" s="196"/>
      <c r="C9" s="308" t="s">
        <v>479</v>
      </c>
      <c r="D9" s="231"/>
      <c r="E9" s="231"/>
      <c r="F9" s="231"/>
      <c r="G9" s="424"/>
      <c r="H9" s="424"/>
    </row>
    <row r="10" spans="1:8" s="195" customFormat="1" ht="27" customHeight="1" hidden="1">
      <c r="A10" s="196"/>
      <c r="B10" s="196"/>
      <c r="C10" s="308" t="s">
        <v>479</v>
      </c>
      <c r="D10" s="231"/>
      <c r="E10" s="231"/>
      <c r="F10" s="231"/>
      <c r="G10" s="424"/>
      <c r="H10" s="424"/>
    </row>
    <row r="11" spans="1:8" s="195" customFormat="1" ht="25.5" hidden="1">
      <c r="A11" s="308"/>
      <c r="B11" s="309"/>
      <c r="C11" s="308" t="s">
        <v>479</v>
      </c>
      <c r="D11" s="465"/>
      <c r="E11" s="465"/>
      <c r="F11" s="465"/>
      <c r="G11" s="424"/>
      <c r="H11" s="424"/>
    </row>
    <row r="12" spans="1:8" s="195" customFormat="1" ht="25.5">
      <c r="A12" s="308" t="s">
        <v>794</v>
      </c>
      <c r="B12" s="308" t="s">
        <v>794</v>
      </c>
      <c r="C12" s="308" t="s">
        <v>479</v>
      </c>
      <c r="D12" s="310"/>
      <c r="E12" s="465">
        <v>0</v>
      </c>
      <c r="F12" s="465"/>
      <c r="G12" s="424" t="s">
        <v>797</v>
      </c>
      <c r="H12" s="424">
        <v>248020904</v>
      </c>
    </row>
    <row r="13" spans="1:8" s="195" customFormat="1" ht="12.75" hidden="1">
      <c r="A13" s="163"/>
      <c r="B13" s="196"/>
      <c r="C13" s="163"/>
      <c r="D13" s="230"/>
      <c r="E13" s="230"/>
      <c r="F13" s="231"/>
      <c r="G13" s="424"/>
      <c r="H13" s="424"/>
    </row>
    <row r="14" spans="1:8" s="311" customFormat="1" ht="45">
      <c r="A14" s="308" t="s">
        <v>394</v>
      </c>
      <c r="B14" s="309" t="s">
        <v>393</v>
      </c>
      <c r="C14" s="163" t="s">
        <v>479</v>
      </c>
      <c r="D14" s="312" t="s">
        <v>395</v>
      </c>
      <c r="E14" s="312" t="s">
        <v>396</v>
      </c>
      <c r="F14" s="310">
        <v>93000000</v>
      </c>
      <c r="G14" s="526"/>
      <c r="H14" s="526">
        <v>18350000</v>
      </c>
    </row>
    <row r="15" spans="1:8" s="195" customFormat="1" ht="12.75" hidden="1">
      <c r="A15" s="163"/>
      <c r="B15" s="163"/>
      <c r="C15" s="163"/>
      <c r="D15" s="230"/>
      <c r="E15" s="310"/>
      <c r="F15" s="310"/>
      <c r="G15" s="526"/>
      <c r="H15" s="526"/>
    </row>
    <row r="16" spans="1:8" s="195" customFormat="1" ht="36" customHeight="1">
      <c r="A16" s="196" t="s">
        <v>503</v>
      </c>
      <c r="B16" s="196" t="s">
        <v>505</v>
      </c>
      <c r="C16" s="163" t="s">
        <v>479</v>
      </c>
      <c r="D16" s="230">
        <v>55000000</v>
      </c>
      <c r="E16" s="231">
        <v>0</v>
      </c>
      <c r="F16" s="231">
        <f>D16-E16</f>
        <v>55000000</v>
      </c>
      <c r="G16" s="424"/>
      <c r="H16" s="424">
        <v>14167550</v>
      </c>
    </row>
    <row r="17" spans="1:9" ht="12.75" hidden="1">
      <c r="A17" s="462"/>
      <c r="B17" s="461"/>
      <c r="C17" s="461"/>
      <c r="D17" s="464"/>
      <c r="E17" s="464"/>
      <c r="F17" s="463"/>
      <c r="G17" s="424"/>
      <c r="H17" s="424"/>
      <c r="I17" s="195"/>
    </row>
    <row r="18" spans="1:8" ht="25.5">
      <c r="A18" s="576" t="s">
        <v>798</v>
      </c>
      <c r="B18" s="576" t="s">
        <v>799</v>
      </c>
      <c r="C18" s="461" t="s">
        <v>795</v>
      </c>
      <c r="D18" s="577"/>
      <c r="E18" s="577">
        <v>0</v>
      </c>
      <c r="F18" s="577">
        <v>190088785</v>
      </c>
      <c r="G18" s="577">
        <v>1548538</v>
      </c>
      <c r="H18" s="577">
        <v>188542247</v>
      </c>
    </row>
    <row r="19" spans="1:8" ht="25.5">
      <c r="A19" s="1140" t="s">
        <v>870</v>
      </c>
      <c r="B19" s="1140" t="s">
        <v>869</v>
      </c>
      <c r="C19" s="461" t="s">
        <v>795</v>
      </c>
      <c r="D19" s="1139"/>
      <c r="E19" s="1139"/>
      <c r="F19" s="1141">
        <v>149992600</v>
      </c>
      <c r="G19" s="1141">
        <v>149992600</v>
      </c>
      <c r="H19" s="1141">
        <v>149992600</v>
      </c>
    </row>
    <row r="20" spans="1:8" ht="25.5">
      <c r="A20" s="1139" t="s">
        <v>872</v>
      </c>
      <c r="B20" s="1140" t="s">
        <v>871</v>
      </c>
      <c r="C20" s="461" t="s">
        <v>795</v>
      </c>
      <c r="D20" s="1139"/>
      <c r="E20" s="1139"/>
      <c r="F20" s="1141">
        <v>228785046</v>
      </c>
      <c r="G20" s="1141">
        <v>228785046</v>
      </c>
      <c r="H20" s="1141">
        <v>228785046</v>
      </c>
    </row>
    <row r="21" ht="12.75">
      <c r="F21" s="1138"/>
    </row>
  </sheetData>
  <sheetProtection/>
  <mergeCells count="2">
    <mergeCell ref="A3:F3"/>
    <mergeCell ref="A4:F4"/>
  </mergeCells>
  <printOptions horizontalCentered="1"/>
  <pageMargins left="0.15748031496062992" right="0.15748031496062992" top="0.2362204724409449" bottom="0.15748031496062992" header="0.2362204724409449" footer="0.15748031496062992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4">
      <selection activeCell="B20" sqref="B20"/>
    </sheetView>
  </sheetViews>
  <sheetFormatPr defaultColWidth="9.00390625" defaultRowHeight="12.75"/>
  <cols>
    <col min="1" max="1" width="36.75390625" style="13" customWidth="1"/>
    <col min="2" max="3" width="15.75390625" style="13" customWidth="1"/>
    <col min="4" max="4" width="15.875" style="13" customWidth="1"/>
    <col min="5" max="16384" width="9.125" style="13" customWidth="1"/>
  </cols>
  <sheetData>
    <row r="2" spans="1:2" ht="12.75">
      <c r="A2" s="12" t="s">
        <v>97</v>
      </c>
      <c r="B2" s="13" t="str">
        <f>'bev-int'!B1</f>
        <v>melléklet a …/2024. (III.  .) önkormányzati rendelethez</v>
      </c>
    </row>
    <row r="3" ht="12.75">
      <c r="A3" s="12"/>
    </row>
    <row r="5" spans="1:4" ht="12.75">
      <c r="A5" s="1157" t="s">
        <v>711</v>
      </c>
      <c r="B5" s="1157"/>
      <c r="C5" s="1157"/>
      <c r="D5" s="1157"/>
    </row>
    <row r="6" spans="1:4" ht="12.75">
      <c r="A6" s="1157" t="s">
        <v>73</v>
      </c>
      <c r="B6" s="1157"/>
      <c r="C6" s="1157"/>
      <c r="D6" s="1157"/>
    </row>
    <row r="7" spans="1:4" ht="12.75">
      <c r="A7" s="94"/>
      <c r="B7" s="94"/>
      <c r="C7" s="94"/>
      <c r="D7" s="94"/>
    </row>
    <row r="8" spans="1:4" ht="12.75">
      <c r="A8" s="94"/>
      <c r="B8" s="94"/>
      <c r="C8" s="94"/>
      <c r="D8" s="94"/>
    </row>
    <row r="9" spans="1:4" ht="12.75">
      <c r="A9" s="94"/>
      <c r="B9" s="94"/>
      <c r="C9" s="94"/>
      <c r="D9" s="94"/>
    </row>
    <row r="10" ht="13.5" thickBot="1">
      <c r="D10" s="194" t="s">
        <v>705</v>
      </c>
    </row>
    <row r="11" spans="1:4" ht="13.5" thickBot="1">
      <c r="A11" s="1181" t="s">
        <v>69</v>
      </c>
      <c r="B11" s="1183" t="s">
        <v>74</v>
      </c>
      <c r="C11" s="1185" t="s">
        <v>75</v>
      </c>
      <c r="D11" s="1187" t="s">
        <v>71</v>
      </c>
    </row>
    <row r="12" spans="1:4" ht="13.5" thickBot="1">
      <c r="A12" s="1182"/>
      <c r="B12" s="1184"/>
      <c r="C12" s="1186"/>
      <c r="D12" s="1188"/>
    </row>
    <row r="13" spans="1:5" ht="12.75">
      <c r="A13" s="138" t="s">
        <v>45</v>
      </c>
      <c r="B13" s="784">
        <f>m_mérl_!C20</f>
        <v>2288276773.6</v>
      </c>
      <c r="C13" s="784">
        <f>f_mérl_!C20</f>
        <v>1164718236</v>
      </c>
      <c r="D13" s="603">
        <f>SUM(B13:C13)</f>
        <v>3452995009.6</v>
      </c>
      <c r="E13" s="17"/>
    </row>
    <row r="14" spans="1:5" ht="13.5" thickBot="1">
      <c r="A14" s="139" t="s">
        <v>46</v>
      </c>
      <c r="B14" s="785">
        <f>m_mérl_!F20</f>
        <v>3101795688</v>
      </c>
      <c r="C14" s="785">
        <f>f_mérl_!F20</f>
        <v>3447056109</v>
      </c>
      <c r="D14" s="786">
        <f>SUM(B14:C14)</f>
        <v>6548851797</v>
      </c>
      <c r="E14" s="17"/>
    </row>
    <row r="15" spans="1:5" ht="27.75" customHeight="1" thickBot="1">
      <c r="A15" s="140" t="s">
        <v>51</v>
      </c>
      <c r="B15" s="787">
        <f>B13-B14</f>
        <v>-813518914.4000001</v>
      </c>
      <c r="C15" s="787">
        <f>C13-C14</f>
        <v>-2282337873</v>
      </c>
      <c r="D15" s="788">
        <f>SUM(B15:C15)</f>
        <v>-3095856787.4</v>
      </c>
      <c r="E15" s="17"/>
    </row>
    <row r="16" spans="1:5" ht="27.75" customHeight="1">
      <c r="A16" s="141" t="s">
        <v>50</v>
      </c>
      <c r="B16" s="789"/>
      <c r="C16" s="789"/>
      <c r="D16" s="790"/>
      <c r="E16" s="17"/>
    </row>
    <row r="17" spans="1:5" ht="12.75" customHeight="1">
      <c r="A17" s="142" t="s">
        <v>52</v>
      </c>
      <c r="B17" s="791">
        <f>m_mérl_!C23</f>
        <v>291219121</v>
      </c>
      <c r="C17" s="791">
        <f>f_mérl_!C23</f>
        <v>2799340880</v>
      </c>
      <c r="D17" s="604">
        <f aca="true" t="shared" si="0" ref="D17:D23">SUM(B17:C17)</f>
        <v>3090560001</v>
      </c>
      <c r="E17" s="17"/>
    </row>
    <row r="18" spans="1:5" ht="12.75">
      <c r="A18" s="142" t="s">
        <v>53</v>
      </c>
      <c r="B18" s="791">
        <f>m_mérl_!C26</f>
        <v>1185703058</v>
      </c>
      <c r="C18" s="791">
        <f>f_mérl_!C26</f>
        <v>20342714</v>
      </c>
      <c r="D18" s="604">
        <f t="shared" si="0"/>
        <v>1206045772</v>
      </c>
      <c r="E18" s="17"/>
    </row>
    <row r="19" spans="1:5" ht="12.75">
      <c r="A19" s="142" t="s">
        <v>37</v>
      </c>
      <c r="B19" s="791">
        <f>'bev-int'!C35</f>
        <v>43500865</v>
      </c>
      <c r="C19" s="791"/>
      <c r="D19" s="604">
        <f t="shared" si="0"/>
        <v>43500865</v>
      </c>
      <c r="E19" s="17"/>
    </row>
    <row r="20" spans="1:5" ht="25.5">
      <c r="A20" s="142" t="str">
        <f>'bev-int'!A38</f>
        <v>Betétek megszüntetése, kincstárjegy vissszavásárlás</v>
      </c>
      <c r="B20" s="791">
        <f>m_mérl_!C27</f>
        <v>0</v>
      </c>
      <c r="C20" s="791">
        <f>f_mérl_!C27</f>
        <v>0</v>
      </c>
      <c r="D20" s="604">
        <f t="shared" si="0"/>
        <v>0</v>
      </c>
      <c r="E20" s="17"/>
    </row>
    <row r="21" spans="1:5" ht="12.75">
      <c r="A21" s="142" t="str">
        <f>'kiad-int'!A26</f>
        <v>ÁH belüli megelőlegezések visszafizetése</v>
      </c>
      <c r="B21" s="791">
        <f>m_mérl_!F24</f>
        <v>38204079</v>
      </c>
      <c r="C21" s="791"/>
      <c r="D21" s="604">
        <f t="shared" si="0"/>
        <v>38204079</v>
      </c>
      <c r="E21" s="17"/>
    </row>
    <row r="22" spans="1:5" ht="12.75">
      <c r="A22" s="142" t="s">
        <v>54</v>
      </c>
      <c r="B22" s="791">
        <f>m_mérl_!F25</f>
        <v>1185703058</v>
      </c>
      <c r="C22" s="791">
        <f>f_mérl_!F25</f>
        <v>20342714</v>
      </c>
      <c r="D22" s="604">
        <f t="shared" si="0"/>
        <v>1206045772</v>
      </c>
      <c r="E22" s="17"/>
    </row>
    <row r="23" spans="1:5" ht="12.75">
      <c r="A23" s="296" t="str">
        <f>'kiad-int'!A28</f>
        <v>Pe.betétként elhelyezése, kincstárjegy vás.</v>
      </c>
      <c r="B23" s="785">
        <f>m_mérl_!F26</f>
        <v>0</v>
      </c>
      <c r="C23" s="785"/>
      <c r="D23" s="604">
        <f t="shared" si="0"/>
        <v>0</v>
      </c>
      <c r="E23" s="17"/>
    </row>
    <row r="24" spans="1:5" ht="13.5" thickBot="1">
      <c r="A24" s="143"/>
      <c r="B24" s="792"/>
      <c r="C24" s="792"/>
      <c r="D24" s="793"/>
      <c r="E24" s="17"/>
    </row>
    <row r="25" spans="1:5" ht="43.5" customHeight="1">
      <c r="A25" s="144" t="s">
        <v>47</v>
      </c>
      <c r="B25" s="794">
        <f>B15+B17+B18+B20-B21-B22-B23+B19</f>
        <v>-517003007.4000001</v>
      </c>
      <c r="C25" s="794">
        <f>C15+C17+C18+C20-C21-C22-C23+C19</f>
        <v>517003007</v>
      </c>
      <c r="D25" s="794">
        <f>D15+D17+D18+D20-D21-D22-D23+D19</f>
        <v>-0.40000009536743164</v>
      </c>
      <c r="E25" s="17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6" ht="12.75">
      <c r="B28" s="16"/>
      <c r="C28" s="16"/>
      <c r="D28" s="16"/>
      <c r="F28" s="55"/>
    </row>
    <row r="29" spans="2:4" ht="12.75">
      <c r="B29" s="16"/>
      <c r="C29" s="16"/>
      <c r="D29" s="16"/>
    </row>
    <row r="30" spans="2:4" ht="12.75">
      <c r="B30" s="16"/>
      <c r="C30" s="16"/>
      <c r="D30" s="16"/>
    </row>
  </sheetData>
  <sheetProtection/>
  <mergeCells count="6">
    <mergeCell ref="A5:D5"/>
    <mergeCell ref="A6:D6"/>
    <mergeCell ref="A11:A12"/>
    <mergeCell ref="B11:B12"/>
    <mergeCell ref="C11:C12"/>
    <mergeCell ref="D11:D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6.75390625" style="15" customWidth="1"/>
    <col min="2" max="4" width="15.75390625" style="15" customWidth="1"/>
    <col min="5" max="16384" width="9.125" style="15" customWidth="1"/>
  </cols>
  <sheetData>
    <row r="2" spans="1:2" ht="12.75">
      <c r="A2" s="14" t="s">
        <v>98</v>
      </c>
      <c r="B2" s="15" t="str">
        <f>'bev-int'!B1</f>
        <v>melléklet a …/2024. (III.  .) önkormányzati rendelethez</v>
      </c>
    </row>
    <row r="3" ht="12.75">
      <c r="A3" s="14"/>
    </row>
    <row r="5" spans="1:4" ht="12.75">
      <c r="A5" s="1189" t="s">
        <v>711</v>
      </c>
      <c r="B5" s="1189"/>
      <c r="C5" s="1189"/>
      <c r="D5" s="1189"/>
    </row>
    <row r="6" spans="1:4" ht="12.75">
      <c r="A6" s="1189" t="s">
        <v>76</v>
      </c>
      <c r="B6" s="1189"/>
      <c r="C6" s="1189"/>
      <c r="D6" s="1189"/>
    </row>
    <row r="7" spans="1:4" ht="12.75">
      <c r="A7" s="54"/>
      <c r="B7" s="54"/>
      <c r="C7" s="54"/>
      <c r="D7" s="54"/>
    </row>
    <row r="8" spans="1:4" ht="12.75">
      <c r="A8" s="54"/>
      <c r="B8" s="54"/>
      <c r="C8" s="54"/>
      <c r="D8" s="54"/>
    </row>
    <row r="9" ht="13.5" thickBot="1">
      <c r="D9" s="795" t="s">
        <v>322</v>
      </c>
    </row>
    <row r="10" spans="1:4" ht="13.5" thickBot="1">
      <c r="A10" s="1190" t="s">
        <v>69</v>
      </c>
      <c r="B10" s="1192" t="s">
        <v>74</v>
      </c>
      <c r="C10" s="1194" t="s">
        <v>75</v>
      </c>
      <c r="D10" s="1196" t="s">
        <v>71</v>
      </c>
    </row>
    <row r="11" spans="1:4" ht="13.5" thickBot="1">
      <c r="A11" s="1191"/>
      <c r="B11" s="1193"/>
      <c r="C11" s="1195"/>
      <c r="D11" s="1197"/>
    </row>
    <row r="12" spans="1:4" ht="12.75">
      <c r="A12" s="56" t="s">
        <v>45</v>
      </c>
      <c r="B12" s="784">
        <f>'belső fin_ '!B13</f>
        <v>2288276773.6</v>
      </c>
      <c r="C12" s="784">
        <f>'belső fin_ '!C13</f>
        <v>1164718236</v>
      </c>
      <c r="D12" s="603">
        <f aca="true" t="shared" si="0" ref="D12:D17">SUM(B12:C12)</f>
        <v>3452995009.6</v>
      </c>
    </row>
    <row r="13" spans="1:4" ht="13.5" thickBot="1">
      <c r="A13" s="57" t="s">
        <v>48</v>
      </c>
      <c r="B13" s="796">
        <f>'belső fin_ '!B14</f>
        <v>3101795688</v>
      </c>
      <c r="C13" s="796">
        <f>'belső fin_ '!C14</f>
        <v>3447056109</v>
      </c>
      <c r="D13" s="786">
        <f t="shared" si="0"/>
        <v>6548851797</v>
      </c>
    </row>
    <row r="14" spans="1:4" ht="25.5" customHeight="1" thickBot="1">
      <c r="A14" s="58" t="s">
        <v>49</v>
      </c>
      <c r="B14" s="797">
        <f>B12-B13</f>
        <v>-813518914.4000001</v>
      </c>
      <c r="C14" s="797">
        <f>C12-C13</f>
        <v>-2282337873</v>
      </c>
      <c r="D14" s="798">
        <f>D12-D13</f>
        <v>-3095856787.4</v>
      </c>
    </row>
    <row r="15" spans="1:4" ht="12.75">
      <c r="A15" s="59" t="s">
        <v>170</v>
      </c>
      <c r="B15" s="799">
        <f>'belső fin_ '!B17+'belső fin_ '!B18+'belső fin_ '!B20+'belső fin_ '!B19</f>
        <v>1520423044</v>
      </c>
      <c r="C15" s="799">
        <f>'belső fin_ '!C17+'belső fin_ '!C18+'belső fin_ '!C20</f>
        <v>2819683594</v>
      </c>
      <c r="D15" s="603">
        <f t="shared" si="0"/>
        <v>4340106638</v>
      </c>
    </row>
    <row r="16" spans="1:4" ht="12.75">
      <c r="A16" s="60" t="s">
        <v>171</v>
      </c>
      <c r="B16" s="791">
        <f>'belső fin_ '!B21+'belső fin_ '!B22+'belső fin_ '!B23</f>
        <v>1223907137</v>
      </c>
      <c r="C16" s="791">
        <f>'belső fin_ '!C21+'belső fin_ '!C22</f>
        <v>20342714</v>
      </c>
      <c r="D16" s="604">
        <f t="shared" si="0"/>
        <v>1244249851</v>
      </c>
    </row>
    <row r="17" spans="1:4" ht="13.5" thickBot="1">
      <c r="A17" s="61"/>
      <c r="B17" s="785"/>
      <c r="C17" s="785"/>
      <c r="D17" s="224">
        <f t="shared" si="0"/>
        <v>0</v>
      </c>
    </row>
    <row r="18" spans="1:4" ht="25.5" customHeight="1" thickBot="1">
      <c r="A18" s="62" t="s">
        <v>78</v>
      </c>
      <c r="B18" s="800">
        <f>B14+B15-B16</f>
        <v>-517003007.4000001</v>
      </c>
      <c r="C18" s="800">
        <f>C14+C15-C16</f>
        <v>517003007</v>
      </c>
      <c r="D18" s="788">
        <f>D14+D15-D16</f>
        <v>-0.40000009536743164</v>
      </c>
    </row>
    <row r="19" spans="1:4" ht="12.75">
      <c r="A19" s="59" t="s">
        <v>474</v>
      </c>
      <c r="B19" s="784">
        <f>m_mérl_!C29+m_mérl_!C30</f>
        <v>0</v>
      </c>
      <c r="C19" s="784">
        <f>f_mérl_!C29+f_mérl_!C30</f>
        <v>0</v>
      </c>
      <c r="D19" s="603">
        <f>SUM(B19:C19)</f>
        <v>0</v>
      </c>
    </row>
    <row r="20" spans="1:4" ht="12.75" customHeight="1">
      <c r="A20" s="63" t="s">
        <v>222</v>
      </c>
      <c r="B20" s="791">
        <f>m_mérl_!F29+m_mérl_!F30</f>
        <v>0</v>
      </c>
      <c r="C20" s="791">
        <f>f_mérl_!F29+f_mérl_!F30</f>
        <v>0</v>
      </c>
      <c r="D20" s="604">
        <f>SUM(B20:C20)</f>
        <v>0</v>
      </c>
    </row>
    <row r="21" spans="1:4" ht="13.5" thickBot="1">
      <c r="A21" s="64"/>
      <c r="B21" s="792"/>
      <c r="C21" s="792"/>
      <c r="D21" s="793"/>
    </row>
    <row r="22" spans="1:4" ht="13.5" thickBot="1">
      <c r="A22" s="65" t="s">
        <v>79</v>
      </c>
      <c r="B22" s="801">
        <f>B18+B19-B20</f>
        <v>-517003007.4000001</v>
      </c>
      <c r="C22" s="801">
        <f>C18+C19-C20</f>
        <v>517003007</v>
      </c>
      <c r="D22" s="802">
        <f>D18+D19-D20</f>
        <v>-0.40000009536743164</v>
      </c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</sheetData>
  <sheetProtection/>
  <mergeCells count="6">
    <mergeCell ref="A5:D5"/>
    <mergeCell ref="A6:D6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625" style="13" customWidth="1"/>
    <col min="2" max="2" width="44.00390625" style="13" customWidth="1"/>
    <col min="3" max="4" width="15.625" style="13" customWidth="1"/>
    <col min="5" max="5" width="18.75390625" style="13" customWidth="1"/>
    <col min="6" max="16384" width="9.125" style="13" customWidth="1"/>
  </cols>
  <sheetData>
    <row r="1" spans="1:2" ht="12.75">
      <c r="A1" s="12" t="s">
        <v>99</v>
      </c>
      <c r="B1" s="12" t="str">
        <f>'bev-int'!B1</f>
        <v>melléklet a …/2024. (III.  .) önkormányzati rendelethez</v>
      </c>
    </row>
    <row r="3" spans="2:6" ht="12.75">
      <c r="B3" s="1157" t="s">
        <v>712</v>
      </c>
      <c r="C3" s="1157"/>
      <c r="D3" s="1157"/>
      <c r="E3" s="145"/>
      <c r="F3" s="145"/>
    </row>
    <row r="4" spans="2:6" ht="12.75">
      <c r="B4" s="145"/>
      <c r="C4" s="145"/>
      <c r="D4" s="145"/>
      <c r="E4" s="145"/>
      <c r="F4" s="145"/>
    </row>
    <row r="6" s="77" customFormat="1" ht="12.75" thickBot="1"/>
    <row r="7" spans="2:7" s="85" customFormat="1" ht="12.75" thickBot="1">
      <c r="B7" s="805" t="s">
        <v>55</v>
      </c>
      <c r="C7" s="806" t="s">
        <v>15</v>
      </c>
      <c r="D7" s="807" t="s">
        <v>469</v>
      </c>
      <c r="E7" s="84"/>
      <c r="F7" s="84"/>
      <c r="G7" s="84"/>
    </row>
    <row r="8" spans="2:4" s="86" customFormat="1" ht="12">
      <c r="B8" s="804" t="s">
        <v>16</v>
      </c>
      <c r="C8" s="1092">
        <f>SUM(C10,C13,C17,C21)</f>
        <v>36684403</v>
      </c>
      <c r="D8" s="1092">
        <f>SUM(D10,D13,D17,D21)</f>
        <v>323699279</v>
      </c>
    </row>
    <row r="9" spans="2:4" s="86" customFormat="1" ht="12">
      <c r="B9" s="553"/>
      <c r="C9" s="1093"/>
      <c r="D9" s="1093"/>
    </row>
    <row r="10" spans="2:4" s="87" customFormat="1" ht="12">
      <c r="B10" s="554" t="s">
        <v>17</v>
      </c>
      <c r="C10" s="1094">
        <f>SUM(C11:C12)</f>
        <v>36684403</v>
      </c>
      <c r="D10" s="1094">
        <f>SUM(D11:D12)</f>
        <v>299075289</v>
      </c>
    </row>
    <row r="11" spans="2:4" s="85" customFormat="1" ht="12">
      <c r="B11" s="555" t="s">
        <v>277</v>
      </c>
      <c r="C11" s="1095">
        <v>34549363</v>
      </c>
      <c r="D11" s="1095">
        <f>286048052+635000+8749691+3642546</f>
        <v>299075289</v>
      </c>
    </row>
    <row r="12" spans="2:4" s="85" customFormat="1" ht="12">
      <c r="B12" s="556" t="s">
        <v>677</v>
      </c>
      <c r="C12" s="1096">
        <v>2135040</v>
      </c>
      <c r="D12" s="1096">
        <v>0</v>
      </c>
    </row>
    <row r="13" spans="2:4" s="87" customFormat="1" ht="12">
      <c r="B13" s="554" t="s">
        <v>18</v>
      </c>
      <c r="C13" s="1094">
        <f>SUM(C14:C15)</f>
        <v>0</v>
      </c>
      <c r="D13" s="1094">
        <f>SUM(D14:D15)</f>
        <v>0</v>
      </c>
    </row>
    <row r="14" spans="2:4" s="85" customFormat="1" ht="12">
      <c r="B14" s="555"/>
      <c r="C14" s="1096"/>
      <c r="D14" s="1096"/>
    </row>
    <row r="15" spans="2:4" s="85" customFormat="1" ht="12">
      <c r="B15" s="555"/>
      <c r="C15" s="1096"/>
      <c r="D15" s="1096"/>
    </row>
    <row r="16" spans="2:4" s="85" customFormat="1" ht="12">
      <c r="B16" s="555"/>
      <c r="C16" s="1096"/>
      <c r="D16" s="1096"/>
    </row>
    <row r="17" spans="2:4" s="85" customFormat="1" ht="12">
      <c r="B17" s="554" t="s">
        <v>19</v>
      </c>
      <c r="C17" s="1094">
        <f>SUM(C18:C19)</f>
        <v>0</v>
      </c>
      <c r="D17" s="1094">
        <f>SUM(D18:D19)</f>
        <v>24623990</v>
      </c>
    </row>
    <row r="18" spans="2:4" s="85" customFormat="1" ht="24">
      <c r="B18" s="555" t="s">
        <v>849</v>
      </c>
      <c r="C18" s="1096"/>
      <c r="D18" s="1096">
        <v>24623990</v>
      </c>
    </row>
    <row r="19" spans="2:4" s="85" customFormat="1" ht="12">
      <c r="B19" s="555"/>
      <c r="C19" s="1096"/>
      <c r="D19" s="1096"/>
    </row>
    <row r="20" spans="2:4" s="85" customFormat="1" ht="12">
      <c r="B20" s="555"/>
      <c r="C20" s="1096"/>
      <c r="D20" s="1096"/>
    </row>
    <row r="21" spans="2:4" s="85" customFormat="1" ht="12">
      <c r="B21" s="554" t="s">
        <v>20</v>
      </c>
      <c r="C21" s="1094">
        <f>SUM(C22)</f>
        <v>0</v>
      </c>
      <c r="D21" s="1094">
        <f>SUM(D22)</f>
        <v>0</v>
      </c>
    </row>
    <row r="22" spans="2:4" s="85" customFormat="1" ht="12">
      <c r="B22" s="555"/>
      <c r="C22" s="1096"/>
      <c r="D22" s="1096"/>
    </row>
    <row r="23" spans="2:4" s="85" customFormat="1" ht="12">
      <c r="B23" s="555"/>
      <c r="C23" s="1096"/>
      <c r="D23" s="1096"/>
    </row>
    <row r="24" spans="2:4" s="86" customFormat="1" ht="12">
      <c r="B24" s="552" t="s">
        <v>21</v>
      </c>
      <c r="C24" s="1097">
        <f>SUM(C26,C29)</f>
        <v>65100000</v>
      </c>
      <c r="D24" s="1097">
        <f>SUM(D26,D29)</f>
        <v>65100000</v>
      </c>
    </row>
    <row r="25" spans="2:4" s="86" customFormat="1" ht="12">
      <c r="B25" s="554"/>
      <c r="C25" s="1094"/>
      <c r="D25" s="1094"/>
    </row>
    <row r="26" spans="2:4" s="87" customFormat="1" ht="12">
      <c r="B26" s="554" t="s">
        <v>22</v>
      </c>
      <c r="C26" s="1094">
        <f>SUM(C27)</f>
        <v>0</v>
      </c>
      <c r="D26" s="1094">
        <f>SUM(D27)</f>
        <v>0</v>
      </c>
    </row>
    <row r="27" spans="2:4" s="85" customFormat="1" ht="12">
      <c r="B27" s="555"/>
      <c r="C27" s="1096"/>
      <c r="D27" s="1096"/>
    </row>
    <row r="28" spans="2:4" s="85" customFormat="1" ht="12">
      <c r="B28" s="555"/>
      <c r="C28" s="1096"/>
      <c r="D28" s="1096"/>
    </row>
    <row r="29" spans="2:6" s="85" customFormat="1" ht="12">
      <c r="B29" s="554" t="s">
        <v>23</v>
      </c>
      <c r="C29" s="1094">
        <f>SUM(C30:C34)</f>
        <v>65100000</v>
      </c>
      <c r="D29" s="1094">
        <f>SUM(D30:D34)</f>
        <v>65100000</v>
      </c>
      <c r="F29" s="545"/>
    </row>
    <row r="30" spans="2:4" s="85" customFormat="1" ht="22.5">
      <c r="B30" s="803" t="s">
        <v>778</v>
      </c>
      <c r="C30" s="1095">
        <v>65100000</v>
      </c>
      <c r="D30" s="1095">
        <v>65100000</v>
      </c>
    </row>
    <row r="31" spans="2:4" s="85" customFormat="1" ht="12">
      <c r="B31" s="556"/>
      <c r="C31" s="1095"/>
      <c r="D31" s="1095"/>
    </row>
    <row r="32" spans="2:4" s="85" customFormat="1" ht="12">
      <c r="B32" s="556"/>
      <c r="C32" s="1095"/>
      <c r="D32" s="1095"/>
    </row>
    <row r="33" spans="2:4" s="85" customFormat="1" ht="12">
      <c r="B33" s="556"/>
      <c r="C33" s="1095"/>
      <c r="D33" s="1095"/>
    </row>
    <row r="34" spans="2:4" s="85" customFormat="1" ht="12">
      <c r="B34" s="556"/>
      <c r="C34" s="1095"/>
      <c r="D34" s="1095"/>
    </row>
    <row r="35" spans="2:4" s="85" customFormat="1" ht="12">
      <c r="B35" s="555"/>
      <c r="C35" s="1096"/>
      <c r="D35" s="1096"/>
    </row>
    <row r="36" spans="2:4" s="87" customFormat="1" ht="12">
      <c r="B36" s="554" t="s">
        <v>20</v>
      </c>
      <c r="C36" s="1094">
        <f>SUM(C37)</f>
        <v>0</v>
      </c>
      <c r="D36" s="1094">
        <f>SUM(D37)</f>
        <v>0</v>
      </c>
    </row>
    <row r="37" spans="2:4" s="87" customFormat="1" ht="12">
      <c r="B37" s="554"/>
      <c r="C37" s="1094"/>
      <c r="D37" s="1094"/>
    </row>
    <row r="38" spans="2:4" s="85" customFormat="1" ht="12">
      <c r="B38" s="555"/>
      <c r="C38" s="1096"/>
      <c r="D38" s="1096"/>
    </row>
    <row r="39" spans="2:5" s="87" customFormat="1" ht="12.75" thickBot="1">
      <c r="B39" s="557" t="s">
        <v>24</v>
      </c>
      <c r="C39" s="1098">
        <f>C8+C24</f>
        <v>101784403</v>
      </c>
      <c r="D39" s="1098">
        <f>D8+D24</f>
        <v>388799279</v>
      </c>
      <c r="E39" s="546"/>
    </row>
    <row r="40" spans="3:4" s="77" customFormat="1" ht="12">
      <c r="C40" s="776"/>
      <c r="D40" s="186"/>
    </row>
    <row r="41" spans="3:4" s="77" customFormat="1" ht="12">
      <c r="C41" s="776"/>
      <c r="D41" s="186"/>
    </row>
    <row r="42" spans="3:4" s="77" customFormat="1" ht="12">
      <c r="C42" s="776"/>
      <c r="D42" s="186"/>
    </row>
    <row r="43" spans="3:4" s="77" customFormat="1" ht="12">
      <c r="C43" s="186"/>
      <c r="D43" s="186"/>
    </row>
    <row r="44" spans="3:4" s="77" customFormat="1" ht="12">
      <c r="C44" s="186"/>
      <c r="D44" s="186"/>
    </row>
    <row r="45" spans="3:4" s="77" customFormat="1" ht="12">
      <c r="C45" s="186"/>
      <c r="D45" s="186"/>
    </row>
    <row r="46" spans="3:4" s="77" customFormat="1" ht="12">
      <c r="C46" s="186"/>
      <c r="D46" s="186"/>
    </row>
    <row r="47" spans="3:4" s="77" customFormat="1" ht="12">
      <c r="C47" s="186"/>
      <c r="D47" s="186"/>
    </row>
    <row r="48" spans="3:4" s="77" customFormat="1" ht="12">
      <c r="C48" s="186"/>
      <c r="D48" s="186"/>
    </row>
    <row r="49" spans="3:4" s="77" customFormat="1" ht="12">
      <c r="C49" s="186"/>
      <c r="D49" s="186"/>
    </row>
    <row r="50" s="77" customFormat="1" ht="12"/>
    <row r="51" s="77" customFormat="1" ht="12"/>
  </sheetData>
  <sheetProtection/>
  <mergeCells count="1">
    <mergeCell ref="B3:D3"/>
  </mergeCells>
  <printOptions horizontalCentered="1"/>
  <pageMargins left="0.17" right="0.7480314960629921" top="1.1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Csoba Zsuzsa</cp:lastModifiedBy>
  <cp:lastPrinted>2024-03-06T13:49:50Z</cp:lastPrinted>
  <dcterms:created xsi:type="dcterms:W3CDTF">2015-06-02T11:43:29Z</dcterms:created>
  <dcterms:modified xsi:type="dcterms:W3CDTF">2024-03-13T08:31:04Z</dcterms:modified>
  <cp:category/>
  <cp:version/>
  <cp:contentType/>
  <cp:contentStatus/>
</cp:coreProperties>
</file>